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11340" windowHeight="6180" tabRatio="603" activeTab="0"/>
  </bookViews>
  <sheets>
    <sheet name="wyk.30.06" sheetId="1" r:id="rId1"/>
  </sheets>
  <definedNames/>
  <calcPr fullCalcOnLoad="1"/>
</workbook>
</file>

<file path=xl/sharedStrings.xml><?xml version="1.0" encoding="utf-8"?>
<sst xmlns="http://schemas.openxmlformats.org/spreadsheetml/2006/main" count="348" uniqueCount="140">
  <si>
    <t>Razem</t>
  </si>
  <si>
    <t xml:space="preserve">Realizacja wydatków budżetowych Miasta Sławkowa </t>
  </si>
  <si>
    <t>Dz.</t>
  </si>
  <si>
    <t>Rozdz.</t>
  </si>
  <si>
    <t>Par.</t>
  </si>
  <si>
    <t>Wyszczególnienie</t>
  </si>
  <si>
    <t>% wykon.</t>
  </si>
  <si>
    <t>.010</t>
  </si>
  <si>
    <t>Rolnictwo i  łowiectwo</t>
  </si>
  <si>
    <t>.01095</t>
  </si>
  <si>
    <t xml:space="preserve">Pozostała działalność </t>
  </si>
  <si>
    <t>Wpłaty gmin na rzecz izb rolniczychw wysokości 2 % uzyskanych wpływów z podatku rolnego</t>
  </si>
  <si>
    <t>Wytwarzanie i zaopatrywanie w energię elektryczną, gaz i  wodę</t>
  </si>
  <si>
    <t xml:space="preserve">Dostarczanie wody   </t>
  </si>
  <si>
    <t>Dotacja przedmiotowa z budżetu dla zakładu budzetowego</t>
  </si>
  <si>
    <t>Transport i  łączność</t>
  </si>
  <si>
    <t xml:space="preserve"> </t>
  </si>
  <si>
    <t>Drogi publiczne powiatowe</t>
  </si>
  <si>
    <t xml:space="preserve">Zakup usług pozostałych </t>
  </si>
  <si>
    <t xml:space="preserve">Drogi publiczne gminne </t>
  </si>
  <si>
    <t>Składki na ubezpieczenia społeczne</t>
  </si>
  <si>
    <t>Zakup usług remontowych</t>
  </si>
  <si>
    <t>Różne wydatki na rzecz osób fizycznych</t>
  </si>
  <si>
    <t>Zakup materiałów i wyposażenia</t>
  </si>
  <si>
    <t>Składki na Fundusz Pracy</t>
  </si>
  <si>
    <t>Wydatki inwestycyjne jednostek budżetowych</t>
  </si>
  <si>
    <t>Gospodarka  mieszkaniowa</t>
  </si>
  <si>
    <t>Zakłady gospodarki mieszkaniowej</t>
  </si>
  <si>
    <t>Dotacja przedmiotowa z budżetu dla zakładu budżetowego.</t>
  </si>
  <si>
    <t>Działalność usługowa</t>
  </si>
  <si>
    <t>Plany zagospodarowania przestrzennego</t>
  </si>
  <si>
    <t>Zakup usług pozostałych</t>
  </si>
  <si>
    <t>Opracowania geodezyjne i kartograficzne</t>
  </si>
  <si>
    <t>Koszty postępowania sądowego i prokuratorskiego</t>
  </si>
  <si>
    <t xml:space="preserve">Administracja publiczna </t>
  </si>
  <si>
    <t xml:space="preserve">Urzędy Wojewódzkie      </t>
  </si>
  <si>
    <t>Wynagrodzenia osobowe pracowników</t>
  </si>
  <si>
    <t xml:space="preserve">Rady Gmin        </t>
  </si>
  <si>
    <t>Wpłaty gmin i powiatów na rzecz innych jednostek samorządu terytorialnego oraz związków gmin lub związków powiatów na dofinansowanie zadań bieżących</t>
  </si>
  <si>
    <t>Podróże służbowe krajowe</t>
  </si>
  <si>
    <t>Podróże służbowe, zagraniczne</t>
  </si>
  <si>
    <t xml:space="preserve">Urzędy Gmin </t>
  </si>
  <si>
    <t>Nagrody i wydatki osobowe nie zaliczane do wynagrodzeń</t>
  </si>
  <si>
    <t>Dodatkowe wynagrodzenie roczne</t>
  </si>
  <si>
    <t xml:space="preserve">Różne opłaty i składki </t>
  </si>
  <si>
    <t>Odpisy na zakładowy fundusz świadczeń socjalnych</t>
  </si>
  <si>
    <t>Urzędy naczelnych organów władzy państwowej,kontroli i ochrony prawa oraz sądownictwa</t>
  </si>
  <si>
    <t>Urzędy naczelnych organów władzy państwowej, kontroli i ochrony prawa</t>
  </si>
  <si>
    <t>Bezpieczeństwo publiczne i ochrona p/pożarowa</t>
  </si>
  <si>
    <t xml:space="preserve">Ochotnicze Straże Pożarne     </t>
  </si>
  <si>
    <t>Dotacja celowa z budżetu na finansowanie lub dofinansowanie zadań zleconych do realizacji stowarzyszeniom</t>
  </si>
  <si>
    <t xml:space="preserve">Obrona Cywilna       </t>
  </si>
  <si>
    <t xml:space="preserve">Straż Miejska         </t>
  </si>
  <si>
    <t>Różne opłaty i składki</t>
  </si>
  <si>
    <t>Odpisy na zakł.fundusz świadczeń socjalnych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</si>
  <si>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</si>
  <si>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</si>
  <si>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 xml:space="preserve">  </t>
  </si>
  <si>
    <t>Obsługa długu publicznego</t>
  </si>
  <si>
    <t xml:space="preserve">Obsługa papierów wartościowych, kredytów i pożyczek jednostek samorządu terytorialnego </t>
  </si>
  <si>
    <t>Odsetki i dyskonta od krajowych skarbowych papierów wartościowych oraz pożyczek i kredytów</t>
  </si>
  <si>
    <t>Różne rozliczenia</t>
  </si>
  <si>
    <t>Wpłaty jednostek samorządu terytorialnego do budżetu państwa</t>
  </si>
  <si>
    <t>Rezerwy ogólne i  celowe</t>
  </si>
  <si>
    <t xml:space="preserve">Rezerwy </t>
  </si>
  <si>
    <t>Oświata i  wychowanie</t>
  </si>
  <si>
    <t>Szkoły podstawowe</t>
  </si>
  <si>
    <t>Nagrody i wydatki osobowe nie zaliczone do wynagrodzeń</t>
  </si>
  <si>
    <t>Zakup pomocy naukow, dydaktycznych i książek</t>
  </si>
  <si>
    <t>Zakup energii</t>
  </si>
  <si>
    <t>Odpisy na zakł. fundusz świadczeń socjalnych</t>
  </si>
  <si>
    <t>Przedszkola</t>
  </si>
  <si>
    <t>Zakup pomocy naukowych, dydaktycznych i książek</t>
  </si>
  <si>
    <t>Gimnazja</t>
  </si>
  <si>
    <t>Dowożenie uczniów do szkół</t>
  </si>
  <si>
    <t>Zespoły ekonomiczno-administracyjne szkół</t>
  </si>
  <si>
    <t>Odpisy na zakładowy fundusz świadczeń socj.</t>
  </si>
  <si>
    <t>Licea Ogólnokształcące</t>
  </si>
  <si>
    <t xml:space="preserve">Pozostała działalność      </t>
  </si>
  <si>
    <t xml:space="preserve">Ochrona Zdrowia </t>
  </si>
  <si>
    <t xml:space="preserve">Lecznictwo ambulatoryjne   </t>
  </si>
  <si>
    <t>Przeciwdziałanie alkoholizmowi</t>
  </si>
  <si>
    <t>Zakup środków zywności</t>
  </si>
  <si>
    <t>Pomoc społeczna</t>
  </si>
  <si>
    <t>Świadczenia rodzinne oraz składki na ubezpieczenia emerytalne i rentowe z ubezpieczenia społecznego</t>
  </si>
  <si>
    <t xml:space="preserve">Składki na ubezpieczenia zdrowotne opłacane za osoby pobierające niektóre świadczenia z pomocy społecznej oraz niektóre świadczenia rodzinne </t>
  </si>
  <si>
    <t>Składki na ubezpieczenie zdrowotne</t>
  </si>
  <si>
    <t>Zasiłki i pomoc w naturze oraz składki na ubezpieczenia społeczne</t>
  </si>
  <si>
    <t>Świadczenia społeczne</t>
  </si>
  <si>
    <t>Dodatki mieszkaniowe</t>
  </si>
  <si>
    <t xml:space="preserve">Ośrodki  Pomocy Społecznej </t>
  </si>
  <si>
    <t>Dodatkowe wynagrodzenia roczne</t>
  </si>
  <si>
    <t xml:space="preserve">Składki na ubezpieczenia społeczne </t>
  </si>
  <si>
    <t>Podróże słuzbowe krajowe</t>
  </si>
  <si>
    <t>Zakup usług zdrowotnych</t>
  </si>
  <si>
    <t>Edukacyjna  opieka  wychowawcza</t>
  </si>
  <si>
    <t xml:space="preserve">Świetlice szkolne     </t>
  </si>
  <si>
    <t>Zakup materiałow i wyposażenia</t>
  </si>
  <si>
    <t>Gospodarka komunalna i  ochrona  środowiska</t>
  </si>
  <si>
    <t xml:space="preserve">Gospodarka ściekowa i  ochrona wód       </t>
  </si>
  <si>
    <t>Dotacja przedmiotowa z budżetu dla zakładu budżetowego</t>
  </si>
  <si>
    <t xml:space="preserve">Oczyszczanie miast i   wsi      </t>
  </si>
  <si>
    <t xml:space="preserve">Utrzymanie zieleni w miastach i  gminach       </t>
  </si>
  <si>
    <t xml:space="preserve">Oświetlenie ulic, placów i  dróg </t>
  </si>
  <si>
    <t xml:space="preserve">Pozostała działalność        </t>
  </si>
  <si>
    <t>Zakup materiałów i wyposazenia</t>
  </si>
  <si>
    <t>Kultura i  ochrona dziedzictwa narodowego</t>
  </si>
  <si>
    <t>Domy i  ośrodki kultury , świetlice i kluby</t>
  </si>
  <si>
    <t xml:space="preserve">Biblioteki       </t>
  </si>
  <si>
    <t>Ochrona i konserwacja zabytków</t>
  </si>
  <si>
    <t>Kultura fizyczna i sport</t>
  </si>
  <si>
    <t xml:space="preserve">Zadania w zakresie kultury fizycznej i  sportu </t>
  </si>
  <si>
    <t xml:space="preserve"> spłata kredytów</t>
  </si>
  <si>
    <t>ogółem wydatki i rozchody</t>
  </si>
  <si>
    <t>Podróze służbowe krajowe</t>
  </si>
  <si>
    <t>Pozostała działalność</t>
  </si>
  <si>
    <t>Zwrot dotacji wykorzystanych niezgodnie z przeznaczeniem lub pobranych w nadmiernej wysokości</t>
  </si>
  <si>
    <t>Wynagrodzenia bezosobowe</t>
  </si>
  <si>
    <t>Wydatki osobowe nie zaliczane do wynagrodzeń</t>
  </si>
  <si>
    <t>Uzupełnienie subwencji ogólnej dla jednostek samorządu terytorialnego</t>
  </si>
  <si>
    <t>Dokształcanie i doskonalenie nauczycieli</t>
  </si>
  <si>
    <t>Usługi opiekuńcze i specjalistyczne usługii opiekuńcze</t>
  </si>
  <si>
    <t>Dotacja podmiotowa z budżetu dla samorządowej instytucji kultury</t>
  </si>
  <si>
    <t>Podróże słuzbowe zagraniczne</t>
  </si>
  <si>
    <t>Wydatki na zakupy inwestycyjne jednostek budżetowych</t>
  </si>
  <si>
    <t>Wynagrodzenia agencyjno-prowizyjne</t>
  </si>
  <si>
    <t>Zwrot dotacji niewykorzystanych zgodnie z przeznaczeniem lub pobranych w nadmiernej wysokości</t>
  </si>
  <si>
    <t>Pomoc materialna dla uczniów</t>
  </si>
  <si>
    <t>Inne formy pomocy dla uczniów</t>
  </si>
  <si>
    <t>Odsetki od nieterminowych wpłat z tytułu pozostałych podatków i opłat</t>
  </si>
  <si>
    <t>Pozostałe odsetki</t>
  </si>
  <si>
    <t>Opłaty za usługi internetowe</t>
  </si>
  <si>
    <t>Zakup usług przez jednostki samorządu terytorialnego od innych jednostek samorządu terytorialnego</t>
  </si>
  <si>
    <t>Odsetki od dotacji wykorzystanych niezgodnie z przeznaczeniem lub pobranych w nadmiernej wysokości</t>
  </si>
  <si>
    <t xml:space="preserve">               za okres 01.01.2005 - 30.06.2005</t>
  </si>
  <si>
    <t>Plan po zmianach na 30.06.2005</t>
  </si>
  <si>
    <t>Wpłaty gmin i powiatów na rzecz innych jednostek samorzadu terytorialnego oraz związków gmin lub związków powiatów na dofinansowanie zadań bieżących</t>
  </si>
  <si>
    <t>odsetki karne</t>
  </si>
  <si>
    <t>Promocja jednostek samorządu terytorialnego</t>
  </si>
  <si>
    <t>Wykonanie od 01.01.2005 do 30.06.2005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</si>
</sst>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0.0%"/>
    <numFmt numFmtId="166" formatCode="0.0"/>
    <numFmt numFmtId="167" formatCode="0.000%"/>
    <numFmt numFmtId="168" formatCode="0.0000%"/>
    <numFmt numFmtId="169" formatCode="0.00000%"/>
    <numFmt numFmtId="170" formatCode="0.000000%"/>
    <numFmt numFmtId="171" formatCode="0.0000000%"/>
    <numFmt numFmtId="172" formatCode="#,##0.00_ ;\-#,##0.00\ "/>
    <numFmt numFmtId="173" formatCode="#,##0.0"/>
    <numFmt numFmtId="174" formatCode="#,##0_ ;\-#,##0\ "/>
    <numFmt numFmtId="175" formatCode="#,##0.000"/>
    <numFmt numFmtId="176" formatCode="#,##0.00\ &quot;zł&quot;"/>
    <numFmt numFmtId="177" formatCode="#,##0.00;[Red]#,##0.00"/>
  </numFmts>
  <fonts count="15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14"/>
      <name val="Arial CE"/>
      <family val="0"/>
    </font>
    <font>
      <b/>
      <sz val="8"/>
      <color indexed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color indexed="8"/>
      <name val="Arial CE"/>
      <family val="2"/>
    </font>
    <font>
      <sz val="9"/>
      <name val="Arial CE"/>
      <family val="2"/>
    </font>
    <font>
      <sz val="8"/>
      <color indexed="8"/>
      <name val="Arial CE"/>
      <family val="2"/>
    </font>
    <font>
      <i/>
      <sz val="10"/>
      <name val="Arial CE"/>
      <family val="2"/>
    </font>
    <font>
      <b/>
      <sz val="10"/>
      <color indexed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justify" vertical="top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165" fontId="8" fillId="0" borderId="3" xfId="19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justify" vertical="top"/>
    </xf>
    <xf numFmtId="0" fontId="5" fillId="0" borderId="4" xfId="0" applyNumberFormat="1" applyFont="1" applyFill="1" applyBorder="1" applyAlignment="1">
      <alignment wrapText="1"/>
    </xf>
    <xf numFmtId="0" fontId="5" fillId="0" borderId="5" xfId="0" applyFont="1" applyFill="1" applyBorder="1" applyAlignment="1">
      <alignment horizontal="justify" vertical="top"/>
    </xf>
    <xf numFmtId="3" fontId="9" fillId="0" borderId="6" xfId="0" applyNumberFormat="1" applyFont="1" applyBorder="1" applyAlignment="1">
      <alignment horizontal="justify" vertical="top"/>
    </xf>
    <xf numFmtId="1" fontId="4" fillId="0" borderId="7" xfId="0" applyNumberFormat="1" applyFont="1" applyBorder="1" applyAlignment="1">
      <alignment horizontal="justify" vertical="top"/>
    </xf>
    <xf numFmtId="1" fontId="4" fillId="0" borderId="8" xfId="0" applyNumberFormat="1" applyFont="1" applyBorder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4" fontId="8" fillId="0" borderId="0" xfId="0" applyNumberFormat="1" applyFont="1" applyFill="1" applyBorder="1" applyAlignment="1">
      <alignment/>
    </xf>
    <xf numFmtId="0" fontId="4" fillId="2" borderId="9" xfId="0" applyNumberFormat="1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justify" vertical="top"/>
    </xf>
    <xf numFmtId="0" fontId="4" fillId="0" borderId="6" xfId="0" applyNumberFormat="1" applyFont="1" applyBorder="1" applyAlignment="1">
      <alignment horizontal="justify" vertical="top" wrapText="1"/>
    </xf>
    <xf numFmtId="0" fontId="0" fillId="0" borderId="0" xfId="0" applyFill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1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165" fontId="7" fillId="0" borderId="0" xfId="19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1" fontId="5" fillId="0" borderId="4" xfId="0" applyNumberFormat="1" applyFont="1" applyFill="1" applyBorder="1" applyAlignment="1">
      <alignment horizontal="justify" vertical="top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justify" vertical="top"/>
    </xf>
    <xf numFmtId="3" fontId="6" fillId="0" borderId="15" xfId="0" applyNumberFormat="1" applyFont="1" applyBorder="1" applyAlignment="1">
      <alignment horizontal="justify" vertical="top"/>
    </xf>
    <xf numFmtId="3" fontId="6" fillId="0" borderId="16" xfId="0" applyNumberFormat="1" applyFont="1" applyBorder="1" applyAlignment="1">
      <alignment horizontal="justify" vertical="top"/>
    </xf>
    <xf numFmtId="3" fontId="6" fillId="0" borderId="16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wrapText="1"/>
    </xf>
    <xf numFmtId="3" fontId="6" fillId="0" borderId="17" xfId="0" applyNumberFormat="1" applyFont="1" applyFill="1" applyBorder="1" applyAlignment="1">
      <alignment horizontal="justify" vertical="top"/>
    </xf>
    <xf numFmtId="3" fontId="6" fillId="0" borderId="18" xfId="0" applyNumberFormat="1" applyFont="1" applyFill="1" applyBorder="1" applyAlignment="1">
      <alignment horizontal="justify" vertical="top"/>
    </xf>
    <xf numFmtId="3" fontId="6" fillId="0" borderId="5" xfId="0" applyNumberFormat="1" applyFont="1" applyFill="1" applyBorder="1" applyAlignment="1">
      <alignment horizontal="justify" vertical="top"/>
    </xf>
    <xf numFmtId="0" fontId="6" fillId="0" borderId="5" xfId="0" applyNumberFormat="1" applyFont="1" applyFill="1" applyBorder="1" applyAlignment="1">
      <alignment wrapText="1"/>
    </xf>
    <xf numFmtId="3" fontId="1" fillId="0" borderId="5" xfId="0" applyNumberFormat="1" applyFont="1" applyFill="1" applyBorder="1" applyAlignment="1">
      <alignment/>
    </xf>
    <xf numFmtId="165" fontId="2" fillId="0" borderId="19" xfId="19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justify" vertical="top"/>
    </xf>
    <xf numFmtId="3" fontId="6" fillId="0" borderId="21" xfId="0" applyNumberFormat="1" applyFont="1" applyFill="1" applyBorder="1" applyAlignment="1">
      <alignment horizontal="justify" vertical="top"/>
    </xf>
    <xf numFmtId="3" fontId="6" fillId="0" borderId="4" xfId="0" applyNumberFormat="1" applyFont="1" applyFill="1" applyBorder="1" applyAlignment="1">
      <alignment horizontal="justify" vertical="top"/>
    </xf>
    <xf numFmtId="0" fontId="6" fillId="0" borderId="4" xfId="0" applyNumberFormat="1" applyFont="1" applyFill="1" applyBorder="1" applyAlignment="1">
      <alignment wrapText="1"/>
    </xf>
    <xf numFmtId="165" fontId="2" fillId="0" borderId="3" xfId="19" applyNumberFormat="1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 horizontal="justify" vertical="top"/>
    </xf>
    <xf numFmtId="1" fontId="5" fillId="0" borderId="21" xfId="0" applyNumberFormat="1" applyFont="1" applyFill="1" applyBorder="1" applyAlignment="1">
      <alignment horizontal="justify" vertical="top"/>
    </xf>
    <xf numFmtId="1" fontId="6" fillId="0" borderId="21" xfId="0" applyNumberFormat="1" applyFont="1" applyFill="1" applyBorder="1" applyAlignment="1">
      <alignment horizontal="justify" vertical="top"/>
    </xf>
    <xf numFmtId="1" fontId="6" fillId="0" borderId="4" xfId="0" applyNumberFormat="1" applyFont="1" applyFill="1" applyBorder="1" applyAlignment="1">
      <alignment horizontal="justify" vertical="top"/>
    </xf>
    <xf numFmtId="3" fontId="1" fillId="0" borderId="4" xfId="0" applyNumberFormat="1" applyFont="1" applyFill="1" applyBorder="1" applyAlignment="1">
      <alignment/>
    </xf>
    <xf numFmtId="1" fontId="5" fillId="0" borderId="22" xfId="0" applyNumberFormat="1" applyFont="1" applyFill="1" applyBorder="1" applyAlignment="1">
      <alignment horizontal="justify" vertical="top"/>
    </xf>
    <xf numFmtId="1" fontId="5" fillId="0" borderId="5" xfId="0" applyNumberFormat="1" applyFont="1" applyFill="1" applyBorder="1" applyAlignment="1">
      <alignment horizontal="justify" vertical="top"/>
    </xf>
    <xf numFmtId="1" fontId="6" fillId="0" borderId="5" xfId="0" applyNumberFormat="1" applyFont="1" applyFill="1" applyBorder="1" applyAlignment="1">
      <alignment horizontal="justify" vertical="top"/>
    </xf>
    <xf numFmtId="0" fontId="5" fillId="0" borderId="4" xfId="0" applyNumberFormat="1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left" wrapText="1"/>
    </xf>
    <xf numFmtId="0" fontId="5" fillId="0" borderId="4" xfId="0" applyNumberFormat="1" applyFont="1" applyFill="1" applyBorder="1" applyAlignment="1">
      <alignment horizontal="left" wrapText="1"/>
    </xf>
    <xf numFmtId="3" fontId="5" fillId="0" borderId="23" xfId="0" applyNumberFormat="1" applyFont="1" applyFill="1" applyBorder="1" applyAlignment="1">
      <alignment horizontal="justify" vertical="top"/>
    </xf>
    <xf numFmtId="1" fontId="5" fillId="0" borderId="24" xfId="0" applyNumberFormat="1" applyFont="1" applyFill="1" applyBorder="1" applyAlignment="1">
      <alignment horizontal="justify" vertical="top"/>
    </xf>
    <xf numFmtId="1" fontId="5" fillId="0" borderId="25" xfId="0" applyNumberFormat="1" applyFont="1" applyFill="1" applyBorder="1" applyAlignment="1">
      <alignment horizontal="justify" vertical="top"/>
    </xf>
    <xf numFmtId="0" fontId="5" fillId="0" borderId="25" xfId="0" applyNumberFormat="1" applyFont="1" applyFill="1" applyBorder="1" applyAlignment="1">
      <alignment wrapText="1"/>
    </xf>
    <xf numFmtId="3" fontId="0" fillId="0" borderId="25" xfId="0" applyNumberFormat="1" applyFont="1" applyFill="1" applyBorder="1" applyAlignment="1">
      <alignment/>
    </xf>
    <xf numFmtId="165" fontId="8" fillId="0" borderId="26" xfId="19" applyNumberFormat="1" applyFont="1" applyFill="1" applyBorder="1" applyAlignment="1">
      <alignment horizontal="right"/>
    </xf>
    <xf numFmtId="3" fontId="5" fillId="0" borderId="27" xfId="0" applyNumberFormat="1" applyFont="1" applyFill="1" applyBorder="1" applyAlignment="1">
      <alignment horizontal="justify" vertical="top"/>
    </xf>
    <xf numFmtId="1" fontId="5" fillId="0" borderId="28" xfId="0" applyNumberFormat="1" applyFont="1" applyFill="1" applyBorder="1" applyAlignment="1">
      <alignment horizontal="justify" vertical="top"/>
    </xf>
    <xf numFmtId="0" fontId="5" fillId="0" borderId="5" xfId="0" applyNumberFormat="1" applyFont="1" applyFill="1" applyBorder="1" applyAlignment="1">
      <alignment wrapText="1"/>
    </xf>
    <xf numFmtId="165" fontId="8" fillId="0" borderId="19" xfId="19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0" fontId="5" fillId="0" borderId="4" xfId="0" applyNumberFormat="1" applyFont="1" applyFill="1" applyBorder="1" applyAlignment="1">
      <alignment horizontal="left" vertical="center" wrapText="1"/>
    </xf>
    <xf numFmtId="3" fontId="5" fillId="0" borderId="29" xfId="0" applyNumberFormat="1" applyFont="1" applyBorder="1" applyAlignment="1">
      <alignment horizontal="justify" vertical="top"/>
    </xf>
    <xf numFmtId="1" fontId="5" fillId="0" borderId="30" xfId="0" applyNumberFormat="1" applyFont="1" applyBorder="1" applyAlignment="1">
      <alignment horizontal="justify" vertical="top"/>
    </xf>
    <xf numFmtId="1" fontId="5" fillId="0" borderId="31" xfId="0" applyNumberFormat="1" applyFont="1" applyBorder="1" applyAlignment="1">
      <alignment horizontal="justify" vertical="top"/>
    </xf>
    <xf numFmtId="0" fontId="12" fillId="0" borderId="31" xfId="0" applyNumberFormat="1" applyFont="1" applyBorder="1" applyAlignment="1">
      <alignment wrapText="1"/>
    </xf>
    <xf numFmtId="3" fontId="10" fillId="3" borderId="31" xfId="0" applyNumberFormat="1" applyFont="1" applyFill="1" applyBorder="1" applyAlignment="1">
      <alignment/>
    </xf>
    <xf numFmtId="3" fontId="10" fillId="0" borderId="31" xfId="0" applyNumberFormat="1" applyFont="1" applyBorder="1" applyAlignment="1">
      <alignment/>
    </xf>
    <xf numFmtId="165" fontId="2" fillId="0" borderId="32" xfId="19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2" fillId="0" borderId="5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/>
    </xf>
    <xf numFmtId="3" fontId="8" fillId="0" borderId="5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 horizontal="center"/>
    </xf>
    <xf numFmtId="3" fontId="8" fillId="0" borderId="25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0" fontId="0" fillId="0" borderId="33" xfId="0" applyNumberFormat="1" applyBorder="1" applyAlignment="1">
      <alignment horizontal="center" wrapText="1"/>
    </xf>
    <xf numFmtId="0" fontId="6" fillId="2" borderId="6" xfId="0" applyFont="1" applyFill="1" applyBorder="1" applyAlignment="1">
      <alignment horizontal="center"/>
    </xf>
    <xf numFmtId="165" fontId="11" fillId="2" borderId="9" xfId="19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23"/>
  <sheetViews>
    <sheetView tabSelected="1" workbookViewId="0" topLeftCell="A388">
      <selection activeCell="G158" sqref="G158"/>
    </sheetView>
  </sheetViews>
  <sheetFormatPr defaultColWidth="9.00390625" defaultRowHeight="12.75"/>
  <cols>
    <col min="2" max="2" width="4.25390625" style="0" customWidth="1"/>
    <col min="3" max="3" width="5.375" style="0" customWidth="1"/>
    <col min="4" max="4" width="5.875" style="0" customWidth="1"/>
    <col min="5" max="5" width="22.875" style="0" customWidth="1"/>
    <col min="6" max="6" width="13.125" style="0" customWidth="1"/>
    <col min="7" max="7" width="13.875" style="21" customWidth="1"/>
    <col min="8" max="8" width="13.00390625" style="0" customWidth="1"/>
    <col min="9" max="9" width="10.125" style="0" bestFit="1" customWidth="1"/>
  </cols>
  <sheetData>
    <row r="1" spans="2:8" ht="18">
      <c r="B1" s="3"/>
      <c r="C1" s="3"/>
      <c r="D1" s="3"/>
      <c r="E1" s="4" t="s">
        <v>1</v>
      </c>
      <c r="F1" s="5"/>
      <c r="G1" s="6"/>
      <c r="H1" s="2"/>
    </row>
    <row r="2" spans="2:8" ht="18">
      <c r="B2" s="3"/>
      <c r="C2" s="3"/>
      <c r="D2" s="3"/>
      <c r="E2" s="10" t="s">
        <v>134</v>
      </c>
      <c r="F2" s="9"/>
      <c r="G2" s="87"/>
      <c r="H2" s="86"/>
    </row>
    <row r="3" spans="2:8" ht="13.5" thickBot="1">
      <c r="B3" s="3"/>
      <c r="C3" s="3"/>
      <c r="D3" s="3"/>
      <c r="E3" s="97"/>
      <c r="F3" s="97"/>
      <c r="G3" s="97"/>
      <c r="H3" s="2"/>
    </row>
    <row r="4" spans="2:8" ht="78" customHeight="1" thickBot="1">
      <c r="B4" s="35" t="s">
        <v>2</v>
      </c>
      <c r="C4" s="36" t="s">
        <v>3</v>
      </c>
      <c r="D4" s="37" t="s">
        <v>4</v>
      </c>
      <c r="E4" s="37" t="s">
        <v>5</v>
      </c>
      <c r="F4" s="38" t="s">
        <v>135</v>
      </c>
      <c r="G4" s="38" t="s">
        <v>139</v>
      </c>
      <c r="H4" s="8" t="s">
        <v>6</v>
      </c>
    </row>
    <row r="5" spans="2:8" ht="13.5" thickBot="1">
      <c r="B5" s="39"/>
      <c r="C5" s="40"/>
      <c r="D5" s="41"/>
      <c r="E5" s="42"/>
      <c r="F5" s="43"/>
      <c r="G5" s="43"/>
      <c r="H5" s="11"/>
    </row>
    <row r="6" spans="2:8" ht="12.75">
      <c r="B6" s="44" t="s">
        <v>7</v>
      </c>
      <c r="C6" s="45"/>
      <c r="D6" s="46"/>
      <c r="E6" s="47" t="s">
        <v>8</v>
      </c>
      <c r="F6" s="48">
        <f>F8</f>
        <v>1350</v>
      </c>
      <c r="G6" s="88">
        <f>SUM(G8)</f>
        <v>885.27</v>
      </c>
      <c r="H6" s="49">
        <f>G6/F6</f>
        <v>0.6557555555555555</v>
      </c>
    </row>
    <row r="7" spans="2:8" ht="12.75">
      <c r="B7" s="50"/>
      <c r="C7" s="51"/>
      <c r="D7" s="52"/>
      <c r="E7" s="53"/>
      <c r="F7" s="28"/>
      <c r="G7" s="89"/>
      <c r="H7" s="54"/>
    </row>
    <row r="8" spans="2:8" ht="22.5">
      <c r="B8" s="55"/>
      <c r="C8" s="56" t="s">
        <v>9</v>
      </c>
      <c r="D8" s="34"/>
      <c r="E8" s="14" t="s">
        <v>10</v>
      </c>
      <c r="F8" s="28">
        <f>SUM(F9)</f>
        <v>1350</v>
      </c>
      <c r="G8" s="90">
        <f>SUM(G9)</f>
        <v>885.27</v>
      </c>
      <c r="H8" s="12">
        <f>G8/F8</f>
        <v>0.6557555555555555</v>
      </c>
    </row>
    <row r="9" spans="2:8" ht="45">
      <c r="B9" s="55"/>
      <c r="C9" s="56"/>
      <c r="D9" s="34">
        <v>2850</v>
      </c>
      <c r="E9" s="14" t="s">
        <v>11</v>
      </c>
      <c r="F9" s="28">
        <v>1350</v>
      </c>
      <c r="G9" s="90">
        <v>885.27</v>
      </c>
      <c r="H9" s="12">
        <f>G9/F9</f>
        <v>0.6557555555555555</v>
      </c>
    </row>
    <row r="10" spans="2:8" ht="12.75">
      <c r="B10" s="55"/>
      <c r="C10" s="56"/>
      <c r="D10" s="34"/>
      <c r="E10" s="14"/>
      <c r="F10" s="28"/>
      <c r="G10" s="90"/>
      <c r="H10" s="54"/>
    </row>
    <row r="11" spans="2:8" ht="45">
      <c r="B11" s="50">
        <v>400</v>
      </c>
      <c r="C11" s="57"/>
      <c r="D11" s="58"/>
      <c r="E11" s="53" t="s">
        <v>12</v>
      </c>
      <c r="F11" s="59">
        <f>SUM(F13)</f>
        <v>110750</v>
      </c>
      <c r="G11" s="89">
        <f>SUM(G13)</f>
        <v>53626</v>
      </c>
      <c r="H11" s="54">
        <f>G11/F11</f>
        <v>0.4842076749435666</v>
      </c>
    </row>
    <row r="12" spans="2:8" ht="12.75">
      <c r="B12" s="50"/>
      <c r="C12" s="57"/>
      <c r="D12" s="58"/>
      <c r="E12" s="53"/>
      <c r="F12" s="59"/>
      <c r="G12" s="89"/>
      <c r="H12" s="54"/>
    </row>
    <row r="13" spans="2:8" ht="12.75">
      <c r="B13" s="50"/>
      <c r="C13" s="56">
        <v>40002</v>
      </c>
      <c r="D13" s="34"/>
      <c r="E13" s="14" t="s">
        <v>13</v>
      </c>
      <c r="F13" s="28">
        <f>SUM(F14)</f>
        <v>110750</v>
      </c>
      <c r="G13" s="90">
        <f>SUM(G14)</f>
        <v>53626</v>
      </c>
      <c r="H13" s="12">
        <f>G13/F13</f>
        <v>0.4842076749435666</v>
      </c>
    </row>
    <row r="14" spans="2:9" ht="33.75">
      <c r="B14" s="50"/>
      <c r="C14" s="56"/>
      <c r="D14" s="34">
        <v>2650</v>
      </c>
      <c r="E14" s="14" t="s">
        <v>14</v>
      </c>
      <c r="F14" s="28">
        <v>110750</v>
      </c>
      <c r="G14" s="90">
        <v>53626</v>
      </c>
      <c r="H14" s="12">
        <f>G14/F14</f>
        <v>0.4842076749435666</v>
      </c>
      <c r="I14" s="21"/>
    </row>
    <row r="15" spans="2:8" ht="12.75">
      <c r="B15" s="50"/>
      <c r="C15" s="56"/>
      <c r="D15" s="34"/>
      <c r="E15" s="14"/>
      <c r="F15" s="28"/>
      <c r="G15" s="90"/>
      <c r="H15" s="54"/>
    </row>
    <row r="16" spans="2:8" ht="12.75">
      <c r="B16" s="50">
        <v>600</v>
      </c>
      <c r="C16" s="57"/>
      <c r="D16" s="58"/>
      <c r="E16" s="53" t="s">
        <v>15</v>
      </c>
      <c r="F16" s="59">
        <f>SUM(F18+F27)</f>
        <v>1236302</v>
      </c>
      <c r="G16" s="89">
        <f>G18+G27</f>
        <v>286968.75</v>
      </c>
      <c r="H16" s="54">
        <f>G16/F16</f>
        <v>0.23211864900323706</v>
      </c>
    </row>
    <row r="17" spans="2:8" ht="12.75">
      <c r="B17" s="50"/>
      <c r="C17" s="57"/>
      <c r="D17" s="58"/>
      <c r="E17" s="53"/>
      <c r="F17" s="59"/>
      <c r="G17" s="89" t="s">
        <v>16</v>
      </c>
      <c r="H17" s="54"/>
    </row>
    <row r="18" spans="2:8" ht="12.75">
      <c r="B18" s="50"/>
      <c r="C18" s="56">
        <v>60014</v>
      </c>
      <c r="D18" s="58"/>
      <c r="E18" s="14" t="s">
        <v>17</v>
      </c>
      <c r="F18" s="28">
        <f>SUM(F19:F25)</f>
        <v>140000</v>
      </c>
      <c r="G18" s="90">
        <f>SUM(G19:G25)</f>
        <v>98048.57</v>
      </c>
      <c r="H18" s="12">
        <f aca="true" t="shared" si="0" ref="H18:H25">G18/F18</f>
        <v>0.7003469285714287</v>
      </c>
    </row>
    <row r="19" spans="2:8" ht="22.5">
      <c r="B19" s="50"/>
      <c r="C19" s="56"/>
      <c r="D19" s="34">
        <v>4110</v>
      </c>
      <c r="E19" s="14" t="s">
        <v>20</v>
      </c>
      <c r="F19" s="28">
        <v>1550</v>
      </c>
      <c r="G19" s="90">
        <v>517</v>
      </c>
      <c r="H19" s="12">
        <f t="shared" si="0"/>
        <v>0.3335483870967742</v>
      </c>
    </row>
    <row r="20" spans="2:8" ht="12.75">
      <c r="B20" s="50"/>
      <c r="C20" s="56"/>
      <c r="D20" s="34">
        <v>4120</v>
      </c>
      <c r="E20" s="14" t="s">
        <v>24</v>
      </c>
      <c r="F20" s="28">
        <v>220</v>
      </c>
      <c r="G20" s="90">
        <v>74</v>
      </c>
      <c r="H20" s="12">
        <f t="shared" si="0"/>
        <v>0.33636363636363636</v>
      </c>
    </row>
    <row r="21" spans="2:8" ht="22.5">
      <c r="B21" s="50"/>
      <c r="C21" s="56"/>
      <c r="D21" s="34">
        <v>4170</v>
      </c>
      <c r="E21" s="14" t="s">
        <v>117</v>
      </c>
      <c r="F21" s="28">
        <v>9000</v>
      </c>
      <c r="G21" s="90">
        <v>3051</v>
      </c>
      <c r="H21" s="12">
        <f t="shared" si="0"/>
        <v>0.339</v>
      </c>
    </row>
    <row r="22" spans="2:8" ht="22.5">
      <c r="B22" s="50"/>
      <c r="C22" s="56"/>
      <c r="D22" s="34">
        <v>4210</v>
      </c>
      <c r="E22" s="14" t="s">
        <v>23</v>
      </c>
      <c r="F22" s="28">
        <v>28000</v>
      </c>
      <c r="G22" s="90">
        <v>0</v>
      </c>
      <c r="H22" s="12">
        <f t="shared" si="0"/>
        <v>0</v>
      </c>
    </row>
    <row r="23" spans="2:8" ht="12.75">
      <c r="B23" s="50"/>
      <c r="C23" s="56"/>
      <c r="D23" s="34">
        <v>4270</v>
      </c>
      <c r="E23" s="14" t="s">
        <v>21</v>
      </c>
      <c r="F23" s="28">
        <v>37000</v>
      </c>
      <c r="G23" s="90">
        <v>30516</v>
      </c>
      <c r="H23" s="12">
        <f t="shared" si="0"/>
        <v>0.8247567567567567</v>
      </c>
    </row>
    <row r="24" spans="2:8" ht="12.75">
      <c r="B24" s="50"/>
      <c r="C24" s="57"/>
      <c r="D24" s="34">
        <v>4300</v>
      </c>
      <c r="E24" s="14" t="s">
        <v>18</v>
      </c>
      <c r="F24" s="28">
        <v>64220</v>
      </c>
      <c r="G24" s="90">
        <v>63882.57</v>
      </c>
      <c r="H24" s="12">
        <f t="shared" si="0"/>
        <v>0.9947457178449082</v>
      </c>
    </row>
    <row r="25" spans="2:8" ht="32.25" customHeight="1">
      <c r="B25" s="50"/>
      <c r="C25" s="57"/>
      <c r="D25" s="34">
        <v>4570</v>
      </c>
      <c r="E25" s="14" t="s">
        <v>129</v>
      </c>
      <c r="F25" s="28">
        <v>10</v>
      </c>
      <c r="G25" s="90">
        <v>8</v>
      </c>
      <c r="H25" s="12">
        <f t="shared" si="0"/>
        <v>0.8</v>
      </c>
    </row>
    <row r="26" spans="2:8" ht="12.75">
      <c r="B26" s="50"/>
      <c r="C26" s="57"/>
      <c r="D26" s="58"/>
      <c r="E26" s="53"/>
      <c r="F26" s="59"/>
      <c r="G26" s="89"/>
      <c r="H26" s="12"/>
    </row>
    <row r="27" spans="2:8" ht="12.75">
      <c r="B27" s="55"/>
      <c r="C27" s="56">
        <v>60016</v>
      </c>
      <c r="D27" s="34"/>
      <c r="E27" s="14" t="s">
        <v>19</v>
      </c>
      <c r="F27" s="28">
        <f>SUM(F28:F36)</f>
        <v>1096302</v>
      </c>
      <c r="G27" s="90">
        <f>SUM(G28:G36)</f>
        <v>188920.17999999996</v>
      </c>
      <c r="H27" s="12">
        <f aca="true" t="shared" si="1" ref="H27:H36">G27/F27</f>
        <v>0.17232494330941653</v>
      </c>
    </row>
    <row r="28" spans="2:8" ht="22.5">
      <c r="B28" s="55"/>
      <c r="C28" s="56"/>
      <c r="D28" s="13">
        <v>4110</v>
      </c>
      <c r="E28" s="14" t="s">
        <v>20</v>
      </c>
      <c r="F28" s="28">
        <v>2658</v>
      </c>
      <c r="G28" s="90">
        <v>0</v>
      </c>
      <c r="H28" s="12">
        <f t="shared" si="1"/>
        <v>0</v>
      </c>
    </row>
    <row r="29" spans="2:8" ht="22.5">
      <c r="B29" s="55"/>
      <c r="C29" s="56"/>
      <c r="D29" s="34">
        <v>4170</v>
      </c>
      <c r="E29" s="14" t="s">
        <v>117</v>
      </c>
      <c r="F29" s="28">
        <v>19100</v>
      </c>
      <c r="G29" s="90">
        <v>5369.16</v>
      </c>
      <c r="H29" s="12">
        <f t="shared" si="1"/>
        <v>0.2811078534031414</v>
      </c>
    </row>
    <row r="30" spans="2:8" ht="12.75">
      <c r="B30" s="55"/>
      <c r="C30" s="56"/>
      <c r="D30" s="34">
        <v>4270</v>
      </c>
      <c r="E30" s="14" t="s">
        <v>21</v>
      </c>
      <c r="F30" s="28">
        <f>192316+138000</f>
        <v>330316</v>
      </c>
      <c r="G30" s="90">
        <v>65751.65</v>
      </c>
      <c r="H30" s="12">
        <f t="shared" si="1"/>
        <v>0.19905681226461933</v>
      </c>
    </row>
    <row r="31" spans="2:9" ht="12.75">
      <c r="B31" s="55"/>
      <c r="C31" s="56"/>
      <c r="D31" s="34">
        <v>4300</v>
      </c>
      <c r="E31" s="14" t="s">
        <v>18</v>
      </c>
      <c r="F31" s="28">
        <f>101678+31300</f>
        <v>132978</v>
      </c>
      <c r="G31" s="90">
        <v>112368.42</v>
      </c>
      <c r="H31" s="12">
        <f t="shared" si="1"/>
        <v>0.8450151152822272</v>
      </c>
      <c r="I31" s="1"/>
    </row>
    <row r="32" spans="2:8" ht="22.5">
      <c r="B32" s="55"/>
      <c r="C32" s="56"/>
      <c r="D32" s="34">
        <v>4210</v>
      </c>
      <c r="E32" s="14" t="s">
        <v>23</v>
      </c>
      <c r="F32" s="28">
        <v>2000</v>
      </c>
      <c r="G32" s="90">
        <v>907.68</v>
      </c>
      <c r="H32" s="12">
        <f t="shared" si="1"/>
        <v>0.45383999999999997</v>
      </c>
    </row>
    <row r="33" spans="2:8" ht="12.75">
      <c r="B33" s="55"/>
      <c r="C33" s="60"/>
      <c r="D33" s="61">
        <v>4430</v>
      </c>
      <c r="E33" s="14" t="s">
        <v>53</v>
      </c>
      <c r="F33" s="29">
        <v>5316</v>
      </c>
      <c r="G33" s="91">
        <v>0</v>
      </c>
      <c r="H33" s="12">
        <f t="shared" si="1"/>
        <v>0</v>
      </c>
    </row>
    <row r="34" spans="2:8" ht="33.75">
      <c r="B34" s="55"/>
      <c r="C34" s="60"/>
      <c r="D34" s="34">
        <v>4570</v>
      </c>
      <c r="E34" s="14" t="s">
        <v>129</v>
      </c>
      <c r="F34" s="29">
        <v>2</v>
      </c>
      <c r="G34" s="91">
        <v>1.11</v>
      </c>
      <c r="H34" s="12">
        <f t="shared" si="1"/>
        <v>0.555</v>
      </c>
    </row>
    <row r="35" spans="2:8" ht="24" customHeight="1">
      <c r="B35" s="55"/>
      <c r="C35" s="60"/>
      <c r="D35" s="61">
        <v>4610</v>
      </c>
      <c r="E35" s="14" t="s">
        <v>33</v>
      </c>
      <c r="F35" s="29">
        <v>100</v>
      </c>
      <c r="G35" s="91">
        <v>50</v>
      </c>
      <c r="H35" s="12">
        <f t="shared" si="1"/>
        <v>0.5</v>
      </c>
    </row>
    <row r="36" spans="2:8" ht="22.5">
      <c r="B36" s="55"/>
      <c r="C36" s="60"/>
      <c r="D36" s="61">
        <v>6050</v>
      </c>
      <c r="E36" s="14" t="s">
        <v>25</v>
      </c>
      <c r="F36" s="29">
        <v>603832</v>
      </c>
      <c r="G36" s="91">
        <v>4472.16</v>
      </c>
      <c r="H36" s="12">
        <f t="shared" si="1"/>
        <v>0.0074062984406258695</v>
      </c>
    </row>
    <row r="37" spans="2:8" ht="12.75">
      <c r="B37" s="55"/>
      <c r="C37" s="60"/>
      <c r="D37" s="15"/>
      <c r="E37" s="33"/>
      <c r="F37" s="29"/>
      <c r="G37" s="91"/>
      <c r="H37" s="54"/>
    </row>
    <row r="38" spans="2:8" ht="22.5">
      <c r="B38" s="50">
        <v>700</v>
      </c>
      <c r="C38" s="57"/>
      <c r="D38" s="62"/>
      <c r="E38" s="53" t="s">
        <v>26</v>
      </c>
      <c r="F38" s="48">
        <f>SUM(F40)</f>
        <v>367665</v>
      </c>
      <c r="G38" s="48">
        <f>SUM(G40)</f>
        <v>183834</v>
      </c>
      <c r="H38" s="54">
        <f>G38/F38</f>
        <v>0.5000040798009057</v>
      </c>
    </row>
    <row r="39" spans="2:8" ht="12.75">
      <c r="B39" s="50"/>
      <c r="C39" s="57"/>
      <c r="D39" s="58"/>
      <c r="E39" s="53"/>
      <c r="F39" s="59"/>
      <c r="G39" s="89"/>
      <c r="H39" s="54"/>
    </row>
    <row r="40" spans="2:8" ht="22.5">
      <c r="B40" s="50"/>
      <c r="C40" s="56">
        <v>70001</v>
      </c>
      <c r="D40" s="58"/>
      <c r="E40" s="14" t="s">
        <v>27</v>
      </c>
      <c r="F40" s="28">
        <f>SUM(F41)</f>
        <v>367665</v>
      </c>
      <c r="G40" s="90">
        <f>SUM(G41)</f>
        <v>183834</v>
      </c>
      <c r="H40" s="12">
        <f>G40/F40</f>
        <v>0.5000040798009057</v>
      </c>
    </row>
    <row r="41" spans="2:9" ht="33.75">
      <c r="B41" s="50"/>
      <c r="C41" s="56"/>
      <c r="D41" s="34">
        <v>2650</v>
      </c>
      <c r="E41" s="14" t="s">
        <v>28</v>
      </c>
      <c r="F41" s="28">
        <v>367665</v>
      </c>
      <c r="G41" s="90">
        <v>183834</v>
      </c>
      <c r="H41" s="12">
        <f>G41/F41</f>
        <v>0.5000040798009057</v>
      </c>
      <c r="I41" s="1"/>
    </row>
    <row r="42" spans="2:8" ht="12.75">
      <c r="B42" s="50"/>
      <c r="C42" s="56"/>
      <c r="D42" s="34"/>
      <c r="E42" s="14"/>
      <c r="F42" s="28"/>
      <c r="G42" s="90"/>
      <c r="H42" s="12"/>
    </row>
    <row r="43" spans="2:8" ht="12.75">
      <c r="B43" s="50">
        <v>710</v>
      </c>
      <c r="C43" s="57"/>
      <c r="D43" s="58"/>
      <c r="E43" s="53" t="s">
        <v>29</v>
      </c>
      <c r="F43" s="59">
        <f>F45+F48</f>
        <v>149222</v>
      </c>
      <c r="G43" s="89">
        <f>G45+G48</f>
        <v>22722.6</v>
      </c>
      <c r="H43" s="54">
        <f>G43/F43</f>
        <v>0.15227379340847863</v>
      </c>
    </row>
    <row r="44" spans="2:8" ht="12.75">
      <c r="B44" s="50"/>
      <c r="C44" s="57"/>
      <c r="D44" s="58"/>
      <c r="E44" s="53"/>
      <c r="F44" s="59"/>
      <c r="G44" s="89"/>
      <c r="H44" s="54"/>
    </row>
    <row r="45" spans="2:8" ht="22.5">
      <c r="B45" s="55"/>
      <c r="C45" s="56">
        <v>71004</v>
      </c>
      <c r="D45" s="34"/>
      <c r="E45" s="14" t="s">
        <v>30</v>
      </c>
      <c r="F45" s="28">
        <f>SUM(F46)</f>
        <v>101585</v>
      </c>
      <c r="G45" s="90">
        <f>SUM(G46)</f>
        <v>13151.6</v>
      </c>
      <c r="H45" s="12">
        <f>G45/F45</f>
        <v>0.12946399566865188</v>
      </c>
    </row>
    <row r="46" spans="2:8" ht="12.75">
      <c r="B46" s="55"/>
      <c r="C46" s="56"/>
      <c r="D46" s="34">
        <v>4300</v>
      </c>
      <c r="E46" s="14" t="s">
        <v>31</v>
      </c>
      <c r="F46" s="28">
        <f>87585+14000</f>
        <v>101585</v>
      </c>
      <c r="G46" s="90">
        <v>13151.6</v>
      </c>
      <c r="H46" s="12">
        <f>G46/F46</f>
        <v>0.12946399566865188</v>
      </c>
    </row>
    <row r="47" spans="2:8" ht="12.75">
      <c r="B47" s="55"/>
      <c r="C47" s="56"/>
      <c r="D47" s="34"/>
      <c r="E47" s="14"/>
      <c r="F47" s="28"/>
      <c r="G47" s="90"/>
      <c r="H47" s="12"/>
    </row>
    <row r="48" spans="2:8" ht="22.5">
      <c r="B48" s="55"/>
      <c r="C48" s="56">
        <v>71014</v>
      </c>
      <c r="D48" s="34"/>
      <c r="E48" s="14" t="s">
        <v>32</v>
      </c>
      <c r="F48" s="28">
        <f>SUM(F49:F51)</f>
        <v>47637</v>
      </c>
      <c r="G48" s="90">
        <f>SUM(G49:G51)</f>
        <v>9571</v>
      </c>
      <c r="H48" s="12">
        <f>G48/F48</f>
        <v>0.20091525494888426</v>
      </c>
    </row>
    <row r="49" spans="2:8" ht="12.75">
      <c r="B49" s="55"/>
      <c r="C49" s="56"/>
      <c r="D49" s="34">
        <v>4300</v>
      </c>
      <c r="E49" s="14" t="s">
        <v>18</v>
      </c>
      <c r="F49" s="28">
        <f>52237-14000+7000</f>
        <v>45237</v>
      </c>
      <c r="G49" s="90">
        <v>8430</v>
      </c>
      <c r="H49" s="12">
        <f>G49/F49</f>
        <v>0.18635188009814974</v>
      </c>
    </row>
    <row r="50" spans="2:8" ht="12.75">
      <c r="B50" s="55"/>
      <c r="C50" s="56"/>
      <c r="D50" s="34">
        <v>4430</v>
      </c>
      <c r="E50" s="14" t="s">
        <v>53</v>
      </c>
      <c r="F50" s="28">
        <v>1400</v>
      </c>
      <c r="G50" s="90">
        <v>910</v>
      </c>
      <c r="H50" s="12">
        <f>G50/F50</f>
        <v>0.65</v>
      </c>
    </row>
    <row r="51" spans="2:8" ht="26.25" customHeight="1">
      <c r="B51" s="55"/>
      <c r="C51" s="56"/>
      <c r="D51" s="34">
        <v>4610</v>
      </c>
      <c r="E51" s="63" t="s">
        <v>33</v>
      </c>
      <c r="F51" s="28">
        <v>1000</v>
      </c>
      <c r="G51" s="90">
        <v>231</v>
      </c>
      <c r="H51" s="12">
        <f>G51/F51</f>
        <v>0.231</v>
      </c>
    </row>
    <row r="52" spans="2:8" ht="12.75">
      <c r="B52" s="55"/>
      <c r="C52" s="56"/>
      <c r="D52" s="34"/>
      <c r="E52" s="14"/>
      <c r="F52" s="28"/>
      <c r="G52" s="90"/>
      <c r="H52" s="54"/>
    </row>
    <row r="53" spans="2:9" ht="12.75">
      <c r="B53" s="50">
        <v>750</v>
      </c>
      <c r="C53" s="57"/>
      <c r="D53" s="58"/>
      <c r="E53" s="53" t="s">
        <v>34</v>
      </c>
      <c r="F53" s="59">
        <f>F55+F60+F76+F71</f>
        <v>2408661</v>
      </c>
      <c r="G53" s="59">
        <f>G55+G60+G76+G71</f>
        <v>1120160.59</v>
      </c>
      <c r="H53" s="54">
        <f>G53/F53</f>
        <v>0.4650553108137675</v>
      </c>
      <c r="I53" s="1"/>
    </row>
    <row r="54" spans="2:9" ht="12.75">
      <c r="B54" s="50"/>
      <c r="C54" s="57"/>
      <c r="D54" s="58"/>
      <c r="E54" s="53"/>
      <c r="F54" s="59"/>
      <c r="G54" s="89"/>
      <c r="H54" s="54"/>
      <c r="I54" s="1"/>
    </row>
    <row r="55" spans="2:8" ht="12.75">
      <c r="B55" s="55"/>
      <c r="C55" s="56">
        <v>75011</v>
      </c>
      <c r="D55" s="34"/>
      <c r="E55" s="14" t="s">
        <v>35</v>
      </c>
      <c r="F55" s="28">
        <f>SUM(F56+F57+F58)</f>
        <v>49216</v>
      </c>
      <c r="G55" s="90">
        <f>SUM(G56:G58)</f>
        <v>24808</v>
      </c>
      <c r="H55" s="12">
        <f>G55/F55</f>
        <v>0.5040637191157347</v>
      </c>
    </row>
    <row r="56" spans="2:8" ht="22.5">
      <c r="B56" s="55"/>
      <c r="C56" s="56"/>
      <c r="D56" s="34">
        <v>4010</v>
      </c>
      <c r="E56" s="14" t="s">
        <v>36</v>
      </c>
      <c r="F56" s="28">
        <v>41123</v>
      </c>
      <c r="G56" s="90">
        <v>20728</v>
      </c>
      <c r="H56" s="12">
        <f>G56/F56</f>
        <v>0.5040488291223889</v>
      </c>
    </row>
    <row r="57" spans="2:8" ht="22.5">
      <c r="B57" s="55"/>
      <c r="C57" s="56"/>
      <c r="D57" s="34">
        <v>4110</v>
      </c>
      <c r="E57" s="14" t="s">
        <v>20</v>
      </c>
      <c r="F57" s="28">
        <v>7085</v>
      </c>
      <c r="G57" s="90">
        <v>3571</v>
      </c>
      <c r="H57" s="12">
        <f>G57/F57</f>
        <v>0.5040225829216655</v>
      </c>
    </row>
    <row r="58" spans="2:8" ht="12.75">
      <c r="B58" s="55"/>
      <c r="C58" s="56"/>
      <c r="D58" s="34">
        <v>4120</v>
      </c>
      <c r="E58" s="14" t="s">
        <v>24</v>
      </c>
      <c r="F58" s="28">
        <v>1008</v>
      </c>
      <c r="G58" s="90">
        <v>509</v>
      </c>
      <c r="H58" s="12">
        <f>G58/F58</f>
        <v>0.5049603174603174</v>
      </c>
    </row>
    <row r="59" spans="2:8" ht="12.75">
      <c r="B59" s="55"/>
      <c r="C59" s="56"/>
      <c r="D59" s="34"/>
      <c r="E59" s="14"/>
      <c r="F59" s="28"/>
      <c r="G59" s="90"/>
      <c r="H59" s="12"/>
    </row>
    <row r="60" spans="2:8" ht="12.75">
      <c r="B60" s="55"/>
      <c r="C60" s="56">
        <v>75022</v>
      </c>
      <c r="D60" s="34"/>
      <c r="E60" s="14" t="s">
        <v>37</v>
      </c>
      <c r="F60" s="28">
        <f>SUM(F61:F69)</f>
        <v>105431</v>
      </c>
      <c r="G60" s="90">
        <f>SUM(G61:G69)</f>
        <v>47914.719999999994</v>
      </c>
      <c r="H60" s="12">
        <f aca="true" t="shared" si="2" ref="H60:H69">G60/F60</f>
        <v>0.4544651952461799</v>
      </c>
    </row>
    <row r="61" spans="2:8" ht="78.75">
      <c r="B61" s="55"/>
      <c r="C61" s="56"/>
      <c r="D61" s="34">
        <v>2900</v>
      </c>
      <c r="E61" s="14" t="s">
        <v>38</v>
      </c>
      <c r="F61" s="28">
        <f>9350-7299</f>
        <v>2051</v>
      </c>
      <c r="G61" s="90">
        <v>2051</v>
      </c>
      <c r="H61" s="12">
        <f t="shared" si="2"/>
        <v>1</v>
      </c>
    </row>
    <row r="62" spans="2:8" ht="22.5">
      <c r="B62" s="55"/>
      <c r="C62" s="56"/>
      <c r="D62" s="34">
        <v>3030</v>
      </c>
      <c r="E62" s="14" t="s">
        <v>22</v>
      </c>
      <c r="F62" s="28">
        <v>52837</v>
      </c>
      <c r="G62" s="90">
        <v>24772</v>
      </c>
      <c r="H62" s="12">
        <f t="shared" si="2"/>
        <v>0.46883812479890985</v>
      </c>
    </row>
    <row r="63" spans="2:8" ht="22.5">
      <c r="B63" s="55"/>
      <c r="C63" s="56"/>
      <c r="D63" s="34">
        <v>4010</v>
      </c>
      <c r="E63" s="14" t="s">
        <v>36</v>
      </c>
      <c r="F63" s="28">
        <v>2747</v>
      </c>
      <c r="G63" s="90">
        <v>1308.62</v>
      </c>
      <c r="H63" s="12">
        <f t="shared" si="2"/>
        <v>0.476381507098653</v>
      </c>
    </row>
    <row r="64" spans="2:8" ht="22.5">
      <c r="B64" s="55"/>
      <c r="C64" s="56"/>
      <c r="D64" s="34">
        <v>4110</v>
      </c>
      <c r="E64" s="14" t="s">
        <v>20</v>
      </c>
      <c r="F64" s="28">
        <v>665</v>
      </c>
      <c r="G64" s="90">
        <v>225.48</v>
      </c>
      <c r="H64" s="12">
        <f t="shared" si="2"/>
        <v>0.3390676691729323</v>
      </c>
    </row>
    <row r="65" spans="2:8" ht="12.75">
      <c r="B65" s="55"/>
      <c r="C65" s="56"/>
      <c r="D65" s="34">
        <v>4120</v>
      </c>
      <c r="E65" s="14" t="s">
        <v>24</v>
      </c>
      <c r="F65" s="28">
        <v>133</v>
      </c>
      <c r="G65" s="90">
        <v>32.06</v>
      </c>
      <c r="H65" s="12">
        <f t="shared" si="2"/>
        <v>0.24105263157894738</v>
      </c>
    </row>
    <row r="66" spans="2:8" ht="22.5">
      <c r="B66" s="55"/>
      <c r="C66" s="56"/>
      <c r="D66" s="34">
        <v>4210</v>
      </c>
      <c r="E66" s="14" t="s">
        <v>23</v>
      </c>
      <c r="F66" s="28">
        <f>9860-1200-2079-510</f>
        <v>6071</v>
      </c>
      <c r="G66" s="90">
        <f>924.8+493.32+921+361.8+2500</f>
        <v>5200.92</v>
      </c>
      <c r="H66" s="12">
        <f t="shared" si="2"/>
        <v>0.8566825893592489</v>
      </c>
    </row>
    <row r="67" spans="2:8" ht="12.75">
      <c r="B67" s="55"/>
      <c r="C67" s="56"/>
      <c r="D67" s="34">
        <v>4300</v>
      </c>
      <c r="E67" s="14" t="s">
        <v>31</v>
      </c>
      <c r="F67" s="28">
        <f>34010+1200-1970+510</f>
        <v>33750</v>
      </c>
      <c r="G67" s="90">
        <f>1428.08+3373.84+680+10718.92-2500</f>
        <v>13700.84</v>
      </c>
      <c r="H67" s="12">
        <f t="shared" si="2"/>
        <v>0.4059508148148148</v>
      </c>
    </row>
    <row r="68" spans="2:8" ht="12.75">
      <c r="B68" s="55"/>
      <c r="C68" s="56"/>
      <c r="D68" s="34">
        <v>4410</v>
      </c>
      <c r="E68" s="14" t="s">
        <v>39</v>
      </c>
      <c r="F68" s="28">
        <v>975</v>
      </c>
      <c r="G68" s="90">
        <v>87.13</v>
      </c>
      <c r="H68" s="12">
        <f t="shared" si="2"/>
        <v>0.08936410256410256</v>
      </c>
    </row>
    <row r="69" spans="2:8" ht="22.5">
      <c r="B69" s="55"/>
      <c r="C69" s="56"/>
      <c r="D69" s="34">
        <v>4420</v>
      </c>
      <c r="E69" s="14" t="s">
        <v>40</v>
      </c>
      <c r="F69" s="28">
        <v>6202</v>
      </c>
      <c r="G69" s="90">
        <v>536.67</v>
      </c>
      <c r="H69" s="12">
        <f t="shared" si="2"/>
        <v>0.08653176394711383</v>
      </c>
    </row>
    <row r="70" spans="2:8" ht="12.75">
      <c r="B70" s="55"/>
      <c r="C70" s="56"/>
      <c r="D70" s="34"/>
      <c r="E70" s="14"/>
      <c r="F70" s="28"/>
      <c r="G70" s="90"/>
      <c r="H70" s="12"/>
    </row>
    <row r="71" spans="2:8" ht="22.5">
      <c r="B71" s="55"/>
      <c r="C71" s="56">
        <v>75075</v>
      </c>
      <c r="D71" s="34"/>
      <c r="E71" s="14" t="s">
        <v>138</v>
      </c>
      <c r="F71" s="28">
        <f>SUM(F72:F74)</f>
        <v>23348</v>
      </c>
      <c r="G71" s="28">
        <f>SUM(G72:G74)</f>
        <v>2799.05</v>
      </c>
      <c r="H71" s="12">
        <f>G71/F71</f>
        <v>0.11988393010107933</v>
      </c>
    </row>
    <row r="72" spans="2:8" ht="78.75">
      <c r="B72" s="55"/>
      <c r="C72" s="56"/>
      <c r="D72" s="34">
        <v>2900</v>
      </c>
      <c r="E72" s="14" t="s">
        <v>136</v>
      </c>
      <c r="F72" s="28">
        <v>7299</v>
      </c>
      <c r="G72" s="90">
        <v>445.25</v>
      </c>
      <c r="H72" s="12">
        <f>G72/F72</f>
        <v>0.061001507055761066</v>
      </c>
    </row>
    <row r="73" spans="2:8" ht="22.5">
      <c r="B73" s="55"/>
      <c r="C73" s="56"/>
      <c r="D73" s="34">
        <v>4210</v>
      </c>
      <c r="E73" s="14" t="s">
        <v>23</v>
      </c>
      <c r="F73" s="28">
        <f>2079+12000</f>
        <v>14079</v>
      </c>
      <c r="G73" s="90">
        <v>2353.8</v>
      </c>
      <c r="H73" s="12">
        <f>G73/F73</f>
        <v>0.1671851694012359</v>
      </c>
    </row>
    <row r="74" spans="2:8" ht="12.75">
      <c r="B74" s="55"/>
      <c r="C74" s="56"/>
      <c r="D74" s="34">
        <v>4300</v>
      </c>
      <c r="E74" s="14" t="s">
        <v>31</v>
      </c>
      <c r="F74" s="28">
        <v>1970</v>
      </c>
      <c r="G74" s="90">
        <v>0</v>
      </c>
      <c r="H74" s="12">
        <f>G74/F74</f>
        <v>0</v>
      </c>
    </row>
    <row r="75" spans="2:8" ht="12.75">
      <c r="B75" s="55"/>
      <c r="C75" s="56"/>
      <c r="D75" s="34"/>
      <c r="E75" s="14"/>
      <c r="F75" s="64"/>
      <c r="G75" s="92"/>
      <c r="H75" s="12"/>
    </row>
    <row r="76" spans="2:8" ht="12.75">
      <c r="B76" s="55"/>
      <c r="C76" s="56">
        <v>75023</v>
      </c>
      <c r="D76" s="34"/>
      <c r="E76" s="14" t="s">
        <v>41</v>
      </c>
      <c r="F76" s="28">
        <f>SUM(F77:F94)</f>
        <v>2230666</v>
      </c>
      <c r="G76" s="90">
        <f>SUM(G77:G94)</f>
        <v>1044638.82</v>
      </c>
      <c r="H76" s="12">
        <f aca="true" t="shared" si="3" ref="H76:H83">G76/F76</f>
        <v>0.46830803894442286</v>
      </c>
    </row>
    <row r="77" spans="2:8" ht="33.75">
      <c r="B77" s="55"/>
      <c r="C77" s="56"/>
      <c r="D77" s="34">
        <v>3020</v>
      </c>
      <c r="E77" s="14" t="s">
        <v>42</v>
      </c>
      <c r="F77" s="28">
        <v>1190</v>
      </c>
      <c r="G77" s="90">
        <v>1178</v>
      </c>
      <c r="H77" s="12">
        <f t="shared" si="3"/>
        <v>0.9899159663865547</v>
      </c>
    </row>
    <row r="78" spans="2:8" ht="22.5">
      <c r="B78" s="55"/>
      <c r="C78" s="56"/>
      <c r="D78" s="34">
        <v>4010</v>
      </c>
      <c r="E78" s="14" t="s">
        <v>36</v>
      </c>
      <c r="F78" s="28">
        <v>1459933</v>
      </c>
      <c r="G78" s="90">
        <v>617900.07</v>
      </c>
      <c r="H78" s="12">
        <f t="shared" si="3"/>
        <v>0.4232386486229162</v>
      </c>
    </row>
    <row r="79" spans="2:9" ht="22.5">
      <c r="B79" s="55"/>
      <c r="C79" s="56"/>
      <c r="D79" s="34">
        <v>4040</v>
      </c>
      <c r="E79" s="14" t="s">
        <v>43</v>
      </c>
      <c r="F79" s="28">
        <f>100671-2000</f>
        <v>98671</v>
      </c>
      <c r="G79" s="90">
        <v>95222.78</v>
      </c>
      <c r="H79" s="12">
        <f t="shared" si="3"/>
        <v>0.9650533591430106</v>
      </c>
      <c r="I79" s="1"/>
    </row>
    <row r="80" spans="2:8" ht="22.5">
      <c r="B80" s="55"/>
      <c r="C80" s="56"/>
      <c r="D80" s="34">
        <v>4110</v>
      </c>
      <c r="E80" s="14" t="s">
        <v>20</v>
      </c>
      <c r="F80" s="28">
        <v>260306</v>
      </c>
      <c r="G80" s="90">
        <v>104064.86</v>
      </c>
      <c r="H80" s="12">
        <f t="shared" si="3"/>
        <v>0.3997789524636389</v>
      </c>
    </row>
    <row r="81" spans="2:8" ht="12.75">
      <c r="B81" s="55"/>
      <c r="C81" s="56"/>
      <c r="D81" s="34">
        <v>4120</v>
      </c>
      <c r="E81" s="14" t="s">
        <v>24</v>
      </c>
      <c r="F81" s="28">
        <v>37015</v>
      </c>
      <c r="G81" s="90">
        <v>14773</v>
      </c>
      <c r="H81" s="12">
        <f t="shared" si="3"/>
        <v>0.39910846953937595</v>
      </c>
    </row>
    <row r="82" spans="2:8" ht="22.5">
      <c r="B82" s="55"/>
      <c r="C82" s="56"/>
      <c r="D82" s="34">
        <v>4210</v>
      </c>
      <c r="E82" s="14" t="s">
        <v>23</v>
      </c>
      <c r="F82" s="28">
        <v>80920</v>
      </c>
      <c r="G82" s="90">
        <v>66040.15</v>
      </c>
      <c r="H82" s="12">
        <f t="shared" si="3"/>
        <v>0.8161165348492337</v>
      </c>
    </row>
    <row r="83" spans="2:8" ht="12.75">
      <c r="B83" s="55"/>
      <c r="C83" s="56"/>
      <c r="D83" s="34">
        <v>4270</v>
      </c>
      <c r="E83" s="14" t="s">
        <v>21</v>
      </c>
      <c r="F83" s="28">
        <v>24000</v>
      </c>
      <c r="G83" s="90">
        <v>10366.58</v>
      </c>
      <c r="H83" s="12">
        <f t="shared" si="3"/>
        <v>0.43194083333333333</v>
      </c>
    </row>
    <row r="84" spans="2:8" ht="12.75">
      <c r="B84" s="55"/>
      <c r="C84" s="56"/>
      <c r="D84" s="34">
        <v>4280</v>
      </c>
      <c r="E84" s="14" t="s">
        <v>94</v>
      </c>
      <c r="F84" s="28">
        <v>1200</v>
      </c>
      <c r="G84" s="90">
        <v>470</v>
      </c>
      <c r="H84" s="12"/>
    </row>
    <row r="85" spans="2:8" ht="12.75">
      <c r="B85" s="55"/>
      <c r="C85" s="56"/>
      <c r="D85" s="34">
        <v>4300</v>
      </c>
      <c r="E85" s="14" t="s">
        <v>31</v>
      </c>
      <c r="F85" s="28">
        <f>179031-10005-10</f>
        <v>169016</v>
      </c>
      <c r="G85" s="90">
        <f>66201.25+11.9</f>
        <v>66213.15</v>
      </c>
      <c r="H85" s="12">
        <f>G85/F85</f>
        <v>0.3917566975907606</v>
      </c>
    </row>
    <row r="86" spans="2:8" ht="22.5">
      <c r="B86" s="55"/>
      <c r="C86" s="56"/>
      <c r="D86" s="34">
        <v>4350</v>
      </c>
      <c r="E86" s="14" t="s">
        <v>131</v>
      </c>
      <c r="F86" s="28">
        <v>6600</v>
      </c>
      <c r="G86" s="90">
        <v>3225.68</v>
      </c>
      <c r="H86" s="12"/>
    </row>
    <row r="87" spans="2:8" ht="12.75">
      <c r="B87" s="55"/>
      <c r="C87" s="56"/>
      <c r="D87" s="34">
        <v>4410</v>
      </c>
      <c r="E87" s="14" t="s">
        <v>39</v>
      </c>
      <c r="F87" s="28">
        <v>20000</v>
      </c>
      <c r="G87" s="90">
        <v>12549.46</v>
      </c>
      <c r="H87" s="12">
        <f aca="true" t="shared" si="4" ref="H87:H94">G87/F87</f>
        <v>0.627473</v>
      </c>
    </row>
    <row r="88" spans="2:8" ht="22.5">
      <c r="B88" s="55"/>
      <c r="C88" s="56"/>
      <c r="D88" s="34">
        <v>4420</v>
      </c>
      <c r="E88" s="14" t="s">
        <v>123</v>
      </c>
      <c r="F88" s="28">
        <v>1000</v>
      </c>
      <c r="G88" s="90">
        <v>884.04</v>
      </c>
      <c r="H88" s="12">
        <f t="shared" si="4"/>
        <v>0.8840399999999999</v>
      </c>
    </row>
    <row r="89" spans="2:8" ht="12.75">
      <c r="B89" s="55"/>
      <c r="C89" s="56"/>
      <c r="D89" s="34">
        <v>4430</v>
      </c>
      <c r="E89" s="14" t="s">
        <v>44</v>
      </c>
      <c r="F89" s="28">
        <f>13000-10000</f>
        <v>3000</v>
      </c>
      <c r="G89" s="90">
        <v>2260</v>
      </c>
      <c r="H89" s="12">
        <f t="shared" si="4"/>
        <v>0.7533333333333333</v>
      </c>
    </row>
    <row r="90" spans="2:8" ht="33.75">
      <c r="B90" s="55"/>
      <c r="C90" s="56"/>
      <c r="D90" s="34">
        <v>4440</v>
      </c>
      <c r="E90" s="14" t="s">
        <v>45</v>
      </c>
      <c r="F90" s="28">
        <v>34096</v>
      </c>
      <c r="G90" s="90">
        <v>34096</v>
      </c>
      <c r="H90" s="12">
        <f t="shared" si="4"/>
        <v>1</v>
      </c>
    </row>
    <row r="91" spans="2:8" ht="33.75">
      <c r="B91" s="55"/>
      <c r="C91" s="56"/>
      <c r="D91" s="34">
        <v>4570</v>
      </c>
      <c r="E91" s="14" t="s">
        <v>129</v>
      </c>
      <c r="F91" s="28">
        <v>369</v>
      </c>
      <c r="G91" s="90">
        <v>0.19</v>
      </c>
      <c r="H91" s="12">
        <f t="shared" si="4"/>
        <v>0.0005149051490514905</v>
      </c>
    </row>
    <row r="92" spans="2:8" ht="12.75">
      <c r="B92" s="55"/>
      <c r="C92" s="56"/>
      <c r="D92" s="34">
        <v>4580</v>
      </c>
      <c r="E92" s="14" t="s">
        <v>130</v>
      </c>
      <c r="F92" s="28">
        <f>310+15</f>
        <v>325</v>
      </c>
      <c r="G92" s="90">
        <v>319.85</v>
      </c>
      <c r="H92" s="12">
        <f t="shared" si="4"/>
        <v>0.9841538461538463</v>
      </c>
    </row>
    <row r="93" spans="2:8" ht="33.75">
      <c r="B93" s="55"/>
      <c r="C93" s="56"/>
      <c r="D93" s="34">
        <v>4610</v>
      </c>
      <c r="E93" s="14" t="s">
        <v>33</v>
      </c>
      <c r="F93" s="28">
        <v>6000</v>
      </c>
      <c r="G93" s="90">
        <v>3053.1</v>
      </c>
      <c r="H93" s="12">
        <f t="shared" si="4"/>
        <v>0.50885</v>
      </c>
    </row>
    <row r="94" spans="2:8" ht="34.5" customHeight="1">
      <c r="B94" s="55"/>
      <c r="C94" s="56"/>
      <c r="D94" s="34">
        <v>6060</v>
      </c>
      <c r="E94" s="14" t="s">
        <v>124</v>
      </c>
      <c r="F94" s="28">
        <v>27025</v>
      </c>
      <c r="G94" s="90">
        <v>12021.91</v>
      </c>
      <c r="H94" s="12">
        <f t="shared" si="4"/>
        <v>0.44484403330249767</v>
      </c>
    </row>
    <row r="95" spans="2:8" ht="12.75">
      <c r="B95" s="55"/>
      <c r="C95" s="56"/>
      <c r="D95" s="34"/>
      <c r="E95" s="14"/>
      <c r="F95" s="28"/>
      <c r="G95" s="90"/>
      <c r="H95" s="54"/>
    </row>
    <row r="96" spans="2:8" ht="56.25">
      <c r="B96" s="50">
        <v>751</v>
      </c>
      <c r="C96" s="56"/>
      <c r="D96" s="34"/>
      <c r="E96" s="65" t="s">
        <v>46</v>
      </c>
      <c r="F96" s="59">
        <f>F98</f>
        <v>2100</v>
      </c>
      <c r="G96" s="88">
        <f>G98</f>
        <v>1460</v>
      </c>
      <c r="H96" s="54">
        <f>G96/F96</f>
        <v>0.6952380952380952</v>
      </c>
    </row>
    <row r="97" spans="2:8" ht="12.75">
      <c r="B97" s="55"/>
      <c r="C97" s="56"/>
      <c r="D97" s="34"/>
      <c r="E97" s="53"/>
      <c r="F97" s="59"/>
      <c r="G97" s="89"/>
      <c r="H97" s="54"/>
    </row>
    <row r="98" spans="2:9" ht="45">
      <c r="B98" s="55"/>
      <c r="C98" s="56">
        <v>75101</v>
      </c>
      <c r="D98" s="34"/>
      <c r="E98" s="14" t="s">
        <v>47</v>
      </c>
      <c r="F98" s="28">
        <f>SUM(F99:F102)</f>
        <v>2100</v>
      </c>
      <c r="G98" s="90">
        <f>SUM(G99:G102)</f>
        <v>1460</v>
      </c>
      <c r="H98" s="12">
        <f>G98/F98</f>
        <v>0.6952380952380952</v>
      </c>
      <c r="I98" s="1"/>
    </row>
    <row r="99" spans="2:8" ht="22.5">
      <c r="B99" s="55"/>
      <c r="C99" s="56"/>
      <c r="D99" s="34">
        <v>4010</v>
      </c>
      <c r="E99" s="14" t="s">
        <v>36</v>
      </c>
      <c r="F99" s="28">
        <v>531</v>
      </c>
      <c r="G99" s="90">
        <v>0</v>
      </c>
      <c r="H99" s="12">
        <f>G99/F99</f>
        <v>0</v>
      </c>
    </row>
    <row r="100" spans="2:8" ht="22.5">
      <c r="B100" s="55"/>
      <c r="C100" s="56"/>
      <c r="D100" s="34">
        <v>4110</v>
      </c>
      <c r="E100" s="14" t="s">
        <v>20</v>
      </c>
      <c r="F100" s="28">
        <v>97</v>
      </c>
      <c r="G100" s="90">
        <v>0</v>
      </c>
      <c r="H100" s="12">
        <f>G100/F100</f>
        <v>0</v>
      </c>
    </row>
    <row r="101" spans="2:8" ht="12.75">
      <c r="B101" s="55"/>
      <c r="C101" s="56"/>
      <c r="D101" s="34">
        <v>4120</v>
      </c>
      <c r="E101" s="14" t="s">
        <v>24</v>
      </c>
      <c r="F101" s="28">
        <v>12</v>
      </c>
      <c r="G101" s="90">
        <v>0</v>
      </c>
      <c r="H101" s="12">
        <f>G101/F101</f>
        <v>0</v>
      </c>
    </row>
    <row r="102" spans="2:8" ht="22.5">
      <c r="B102" s="55"/>
      <c r="C102" s="56"/>
      <c r="D102" s="34">
        <v>4210</v>
      </c>
      <c r="E102" s="14" t="s">
        <v>23</v>
      </c>
      <c r="F102" s="28">
        <v>1460</v>
      </c>
      <c r="G102" s="90">
        <v>1460</v>
      </c>
      <c r="H102" s="12">
        <f>G102/F102</f>
        <v>1</v>
      </c>
    </row>
    <row r="103" spans="2:8" ht="12.75">
      <c r="B103" s="55"/>
      <c r="C103" s="56"/>
      <c r="D103" s="34"/>
      <c r="E103" s="14"/>
      <c r="F103" s="28"/>
      <c r="G103" s="90"/>
      <c r="H103" s="12"/>
    </row>
    <row r="104" spans="2:8" ht="33.75">
      <c r="B104" s="50">
        <v>754</v>
      </c>
      <c r="C104" s="57"/>
      <c r="D104" s="58"/>
      <c r="E104" s="53" t="s">
        <v>48</v>
      </c>
      <c r="F104" s="59">
        <f>F106+F116+F124</f>
        <v>373225</v>
      </c>
      <c r="G104" s="89">
        <f>G106+G116+G124</f>
        <v>188096.04</v>
      </c>
      <c r="H104" s="54">
        <f>G104/F104</f>
        <v>0.5039749212941256</v>
      </c>
    </row>
    <row r="105" spans="2:8" ht="12.75">
      <c r="B105" s="50"/>
      <c r="C105" s="57"/>
      <c r="D105" s="58"/>
      <c r="E105" s="53"/>
      <c r="F105" s="59"/>
      <c r="G105" s="89"/>
      <c r="H105" s="54"/>
    </row>
    <row r="106" spans="2:8" ht="12.75">
      <c r="B106" s="55"/>
      <c r="C106" s="56">
        <v>75412</v>
      </c>
      <c r="D106" s="34"/>
      <c r="E106" s="14" t="s">
        <v>49</v>
      </c>
      <c r="F106" s="28">
        <f>SUM(F107:F114)</f>
        <v>139508</v>
      </c>
      <c r="G106" s="90">
        <f>SUM(G107:G114)</f>
        <v>72736.49</v>
      </c>
      <c r="H106" s="12">
        <f aca="true" t="shared" si="5" ref="H106:H114">G106/F106</f>
        <v>0.5213786306161654</v>
      </c>
    </row>
    <row r="107" spans="2:8" ht="56.25">
      <c r="B107" s="55"/>
      <c r="C107" s="56"/>
      <c r="D107" s="34">
        <v>2820</v>
      </c>
      <c r="E107" s="14" t="s">
        <v>50</v>
      </c>
      <c r="F107" s="28">
        <v>56044</v>
      </c>
      <c r="G107" s="90">
        <f>11389.12+10.53+4612.66</f>
        <v>16012.310000000001</v>
      </c>
      <c r="H107" s="12">
        <f t="shared" si="5"/>
        <v>0.285709621012062</v>
      </c>
    </row>
    <row r="108" spans="2:9" ht="22.5" customHeight="1">
      <c r="B108" s="55"/>
      <c r="C108" s="56"/>
      <c r="D108" s="34">
        <v>3020</v>
      </c>
      <c r="E108" s="14" t="s">
        <v>118</v>
      </c>
      <c r="F108" s="28">
        <v>13429</v>
      </c>
      <c r="G108" s="90">
        <f>2234.79+11041.34</f>
        <v>13276.130000000001</v>
      </c>
      <c r="H108" s="12">
        <f t="shared" si="5"/>
        <v>0.9886164271353043</v>
      </c>
      <c r="I108" s="1"/>
    </row>
    <row r="109" spans="2:9" ht="22.5">
      <c r="B109" s="55"/>
      <c r="C109" s="56"/>
      <c r="D109" s="34">
        <v>4170</v>
      </c>
      <c r="E109" s="14" t="s">
        <v>117</v>
      </c>
      <c r="F109" s="28">
        <f>3412+250-14</f>
        <v>3648</v>
      </c>
      <c r="G109" s="90">
        <f>3412+213.58</f>
        <v>3625.58</v>
      </c>
      <c r="H109" s="12">
        <f t="shared" si="5"/>
        <v>0.9938541666666666</v>
      </c>
      <c r="I109" s="1"/>
    </row>
    <row r="110" spans="2:9" ht="22.5">
      <c r="B110" s="55"/>
      <c r="C110" s="56"/>
      <c r="D110" s="34">
        <v>4210</v>
      </c>
      <c r="E110" s="14" t="s">
        <v>23</v>
      </c>
      <c r="F110" s="28">
        <v>4811</v>
      </c>
      <c r="G110" s="90">
        <f>1818.96+2991.94</f>
        <v>4810.9</v>
      </c>
      <c r="H110" s="12">
        <f t="shared" si="5"/>
        <v>0.9999792143005611</v>
      </c>
      <c r="I110" s="1"/>
    </row>
    <row r="111" spans="2:9" ht="12.75">
      <c r="B111" s="55"/>
      <c r="C111" s="56"/>
      <c r="D111" s="34">
        <v>4260</v>
      </c>
      <c r="E111" s="14" t="s">
        <v>69</v>
      </c>
      <c r="F111" s="28">
        <v>9675</v>
      </c>
      <c r="G111" s="90">
        <f>14277.88-4612.66</f>
        <v>9665.22</v>
      </c>
      <c r="H111" s="12">
        <f t="shared" si="5"/>
        <v>0.9989891472868216</v>
      </c>
      <c r="I111" s="1"/>
    </row>
    <row r="112" spans="2:9" ht="12.75">
      <c r="B112" s="55"/>
      <c r="C112" s="56"/>
      <c r="D112" s="34">
        <v>4270</v>
      </c>
      <c r="E112" s="14" t="s">
        <v>21</v>
      </c>
      <c r="F112" s="28">
        <f>3320-1460</f>
        <v>1860</v>
      </c>
      <c r="G112" s="90">
        <f>820+1040</f>
        <v>1860</v>
      </c>
      <c r="H112" s="12">
        <f t="shared" si="5"/>
        <v>1</v>
      </c>
      <c r="I112" s="1"/>
    </row>
    <row r="113" spans="2:9" ht="12.75">
      <c r="B113" s="55"/>
      <c r="C113" s="56"/>
      <c r="D113" s="34">
        <v>4300</v>
      </c>
      <c r="E113" s="14" t="s">
        <v>31</v>
      </c>
      <c r="F113" s="28">
        <v>17441</v>
      </c>
      <c r="G113" s="90">
        <f>1395.44+14490.91</f>
        <v>15886.35</v>
      </c>
      <c r="H113" s="12">
        <f t="shared" si="5"/>
        <v>0.9108623358752366</v>
      </c>
      <c r="I113" s="1"/>
    </row>
    <row r="114" spans="2:9" ht="33.75">
      <c r="B114" s="55"/>
      <c r="C114" s="56"/>
      <c r="D114" s="34">
        <v>6060</v>
      </c>
      <c r="E114" s="14" t="s">
        <v>124</v>
      </c>
      <c r="F114" s="28">
        <f>25000+7600</f>
        <v>32600</v>
      </c>
      <c r="G114" s="90">
        <v>7600</v>
      </c>
      <c r="H114" s="12">
        <f t="shared" si="5"/>
        <v>0.2331288343558282</v>
      </c>
      <c r="I114" s="1"/>
    </row>
    <row r="115" spans="2:8" ht="12.75">
      <c r="B115" s="55"/>
      <c r="C115" s="56"/>
      <c r="D115" s="34"/>
      <c r="E115" s="14"/>
      <c r="F115" s="28"/>
      <c r="G115" s="90"/>
      <c r="H115" s="12"/>
    </row>
    <row r="116" spans="2:8" ht="12.75">
      <c r="B116" s="55"/>
      <c r="C116" s="56">
        <v>75414</v>
      </c>
      <c r="D116" s="34"/>
      <c r="E116" s="14" t="s">
        <v>51</v>
      </c>
      <c r="F116" s="28">
        <f>SUM(F117:F122)</f>
        <v>23494</v>
      </c>
      <c r="G116" s="90">
        <f>SUM(G117:G122)</f>
        <v>8506</v>
      </c>
      <c r="H116" s="12">
        <f aca="true" t="shared" si="6" ref="H116:H122">G116/F116</f>
        <v>0.36204988507704094</v>
      </c>
    </row>
    <row r="117" spans="2:8" ht="12.75">
      <c r="B117" s="55"/>
      <c r="C117" s="56"/>
      <c r="D117" s="34">
        <v>4300</v>
      </c>
      <c r="E117" s="14" t="s">
        <v>31</v>
      </c>
      <c r="F117" s="28">
        <v>5226</v>
      </c>
      <c r="G117" s="90">
        <v>0</v>
      </c>
      <c r="H117" s="12">
        <f t="shared" si="6"/>
        <v>0</v>
      </c>
    </row>
    <row r="118" spans="2:8" ht="22.5">
      <c r="B118" s="55"/>
      <c r="C118" s="56"/>
      <c r="D118" s="34">
        <v>4010</v>
      </c>
      <c r="E118" s="14" t="s">
        <v>36</v>
      </c>
      <c r="F118" s="28">
        <v>12530</v>
      </c>
      <c r="G118" s="90">
        <v>7107</v>
      </c>
      <c r="H118" s="12">
        <f t="shared" si="6"/>
        <v>0.5671987230646448</v>
      </c>
    </row>
    <row r="119" spans="2:8" ht="22.5">
      <c r="B119" s="55"/>
      <c r="C119" s="56"/>
      <c r="D119" s="34">
        <v>4210</v>
      </c>
      <c r="E119" s="14" t="s">
        <v>23</v>
      </c>
      <c r="F119" s="28">
        <v>1500</v>
      </c>
      <c r="G119" s="90">
        <v>0</v>
      </c>
      <c r="H119" s="12">
        <f t="shared" si="6"/>
        <v>0</v>
      </c>
    </row>
    <row r="120" spans="2:8" ht="22.5">
      <c r="B120" s="55"/>
      <c r="C120" s="56"/>
      <c r="D120" s="34">
        <v>4110</v>
      </c>
      <c r="E120" s="14" t="s">
        <v>20</v>
      </c>
      <c r="F120" s="28">
        <v>2159</v>
      </c>
      <c r="G120" s="90">
        <v>1225</v>
      </c>
      <c r="H120" s="12">
        <f t="shared" si="6"/>
        <v>0.5673923112552107</v>
      </c>
    </row>
    <row r="121" spans="2:8" ht="12.75">
      <c r="B121" s="55"/>
      <c r="C121" s="56"/>
      <c r="D121" s="34">
        <v>4120</v>
      </c>
      <c r="E121" s="14" t="s">
        <v>24</v>
      </c>
      <c r="F121" s="28">
        <v>307</v>
      </c>
      <c r="G121" s="90">
        <v>174</v>
      </c>
      <c r="H121" s="12">
        <f t="shared" si="6"/>
        <v>0.5667752442996743</v>
      </c>
    </row>
    <row r="122" spans="2:8" ht="12.75">
      <c r="B122" s="55"/>
      <c r="C122" s="56"/>
      <c r="D122" s="34">
        <v>4270</v>
      </c>
      <c r="E122" s="14" t="s">
        <v>21</v>
      </c>
      <c r="F122" s="28">
        <v>1772</v>
      </c>
      <c r="G122" s="90">
        <v>0</v>
      </c>
      <c r="H122" s="12">
        <f t="shared" si="6"/>
        <v>0</v>
      </c>
    </row>
    <row r="123" spans="2:8" ht="12.75">
      <c r="B123" s="55"/>
      <c r="C123" s="56"/>
      <c r="D123" s="34"/>
      <c r="E123" s="14"/>
      <c r="F123" s="28"/>
      <c r="G123" s="90"/>
      <c r="H123" s="12"/>
    </row>
    <row r="124" spans="2:8" ht="12.75">
      <c r="B124" s="55"/>
      <c r="C124" s="56">
        <v>75416</v>
      </c>
      <c r="D124" s="34"/>
      <c r="E124" s="14" t="s">
        <v>52</v>
      </c>
      <c r="F124" s="28">
        <f>SUM(F125:F135)</f>
        <v>210223</v>
      </c>
      <c r="G124" s="90">
        <f>SUM(G125:G135)</f>
        <v>106853.55</v>
      </c>
      <c r="H124" s="12">
        <f aca="true" t="shared" si="7" ref="H124:H135">G124/F124</f>
        <v>0.5082866765292094</v>
      </c>
    </row>
    <row r="125" spans="2:8" ht="22.5" customHeight="1">
      <c r="B125" s="55"/>
      <c r="C125" s="56"/>
      <c r="D125" s="34">
        <v>3020</v>
      </c>
      <c r="E125" s="14" t="s">
        <v>118</v>
      </c>
      <c r="F125" s="28">
        <v>2000</v>
      </c>
      <c r="G125" s="90">
        <v>1042.08</v>
      </c>
      <c r="H125" s="12">
        <f t="shared" si="7"/>
        <v>0.52104</v>
      </c>
    </row>
    <row r="126" spans="2:8" ht="22.5">
      <c r="B126" s="55"/>
      <c r="C126" s="56"/>
      <c r="D126" s="34">
        <v>4010</v>
      </c>
      <c r="E126" s="14" t="s">
        <v>36</v>
      </c>
      <c r="F126" s="28">
        <v>141137</v>
      </c>
      <c r="G126" s="90">
        <v>66002.5</v>
      </c>
      <c r="H126" s="12">
        <f t="shared" si="7"/>
        <v>0.46764845504722363</v>
      </c>
    </row>
    <row r="127" spans="2:9" ht="22.5">
      <c r="B127" s="55"/>
      <c r="C127" s="56"/>
      <c r="D127" s="34">
        <v>4040</v>
      </c>
      <c r="E127" s="14" t="s">
        <v>43</v>
      </c>
      <c r="F127" s="28">
        <v>11721</v>
      </c>
      <c r="G127" s="90">
        <v>11721.41</v>
      </c>
      <c r="H127" s="12">
        <f t="shared" si="7"/>
        <v>1.0000349799505162</v>
      </c>
      <c r="I127" s="1"/>
    </row>
    <row r="128" spans="2:8" ht="22.5">
      <c r="B128" s="55"/>
      <c r="C128" s="56"/>
      <c r="D128" s="34">
        <v>4110</v>
      </c>
      <c r="E128" s="14" t="s">
        <v>20</v>
      </c>
      <c r="F128" s="28">
        <v>24317</v>
      </c>
      <c r="G128" s="90">
        <v>13824.96</v>
      </c>
      <c r="H128" s="12">
        <f t="shared" si="7"/>
        <v>0.5685306575646667</v>
      </c>
    </row>
    <row r="129" spans="2:8" ht="12.75">
      <c r="B129" s="55"/>
      <c r="C129" s="56"/>
      <c r="D129" s="34">
        <v>4120</v>
      </c>
      <c r="E129" s="14" t="s">
        <v>24</v>
      </c>
      <c r="F129" s="28">
        <v>3458</v>
      </c>
      <c r="G129" s="90">
        <v>1649.99</v>
      </c>
      <c r="H129" s="12">
        <f t="shared" si="7"/>
        <v>0.4771515326778485</v>
      </c>
    </row>
    <row r="130" spans="2:8" ht="22.5">
      <c r="B130" s="55"/>
      <c r="C130" s="56"/>
      <c r="D130" s="34">
        <v>4210</v>
      </c>
      <c r="E130" s="14" t="s">
        <v>23</v>
      </c>
      <c r="F130" s="28">
        <v>10585</v>
      </c>
      <c r="G130" s="90">
        <v>5140.39</v>
      </c>
      <c r="H130" s="12">
        <f t="shared" si="7"/>
        <v>0.48562966461974494</v>
      </c>
    </row>
    <row r="131" spans="2:8" ht="12.75">
      <c r="B131" s="55"/>
      <c r="C131" s="56"/>
      <c r="D131" s="34">
        <v>4270</v>
      </c>
      <c r="E131" s="14" t="s">
        <v>21</v>
      </c>
      <c r="F131" s="28">
        <v>2000</v>
      </c>
      <c r="G131" s="90">
        <v>432.54</v>
      </c>
      <c r="H131" s="12">
        <f t="shared" si="7"/>
        <v>0.21627000000000002</v>
      </c>
    </row>
    <row r="132" spans="2:8" ht="12.75">
      <c r="B132" s="55"/>
      <c r="C132" s="56"/>
      <c r="D132" s="34">
        <v>4300</v>
      </c>
      <c r="E132" s="14" t="s">
        <v>31</v>
      </c>
      <c r="F132" s="28">
        <v>9650</v>
      </c>
      <c r="G132" s="90">
        <v>3984.68</v>
      </c>
      <c r="H132" s="12">
        <f t="shared" si="7"/>
        <v>0.412920207253886</v>
      </c>
    </row>
    <row r="133" spans="2:8" ht="12.75">
      <c r="B133" s="55"/>
      <c r="C133" s="56"/>
      <c r="D133" s="34">
        <v>4410</v>
      </c>
      <c r="E133" s="14" t="s">
        <v>39</v>
      </c>
      <c r="F133" s="28">
        <v>600</v>
      </c>
      <c r="G133" s="90">
        <v>0</v>
      </c>
      <c r="H133" s="12">
        <f t="shared" si="7"/>
        <v>0</v>
      </c>
    </row>
    <row r="134" spans="2:8" ht="12.75">
      <c r="B134" s="55"/>
      <c r="C134" s="56"/>
      <c r="D134" s="34">
        <v>4430</v>
      </c>
      <c r="E134" s="14" t="s">
        <v>53</v>
      </c>
      <c r="F134" s="28">
        <v>1700</v>
      </c>
      <c r="G134" s="90">
        <v>0</v>
      </c>
      <c r="H134" s="12">
        <f t="shared" si="7"/>
        <v>0</v>
      </c>
    </row>
    <row r="135" spans="2:8" ht="22.5">
      <c r="B135" s="55"/>
      <c r="C135" s="56"/>
      <c r="D135" s="34">
        <v>4440</v>
      </c>
      <c r="E135" s="14" t="s">
        <v>54</v>
      </c>
      <c r="F135" s="28">
        <v>3055</v>
      </c>
      <c r="G135" s="90">
        <v>3055</v>
      </c>
      <c r="H135" s="12">
        <f t="shared" si="7"/>
        <v>1</v>
      </c>
    </row>
    <row r="136" spans="2:8" ht="12.75">
      <c r="B136" s="55"/>
      <c r="C136" s="56"/>
      <c r="D136" s="34"/>
      <c r="E136" s="14"/>
      <c r="F136" s="28"/>
      <c r="G136" s="90"/>
      <c r="H136" s="12"/>
    </row>
    <row r="137" spans="2:8" ht="90">
      <c r="B137" s="50">
        <v>756</v>
      </c>
      <c r="C137" s="57"/>
      <c r="D137" s="58"/>
      <c r="E137" s="65" t="s">
        <v>55</v>
      </c>
      <c r="F137" s="59">
        <f>SUM(F139:F142)</f>
        <v>8804</v>
      </c>
      <c r="G137" s="89">
        <f>G138</f>
        <v>7225</v>
      </c>
      <c r="H137" s="54">
        <f aca="true" t="shared" si="8" ref="H137:H142">G137/F137</f>
        <v>0.820649704679691</v>
      </c>
    </row>
    <row r="138" spans="2:8" ht="33.75">
      <c r="B138" s="50"/>
      <c r="C138" s="56">
        <v>75647</v>
      </c>
      <c r="D138" s="58"/>
      <c r="E138" s="66" t="s">
        <v>56</v>
      </c>
      <c r="F138" s="28">
        <f>SUM(F139:F142)</f>
        <v>8804</v>
      </c>
      <c r="G138" s="90">
        <f>SUM(G139:G142)</f>
        <v>7225</v>
      </c>
      <c r="H138" s="12">
        <f t="shared" si="8"/>
        <v>0.820649704679691</v>
      </c>
    </row>
    <row r="139" spans="2:8" ht="22.5" customHeight="1">
      <c r="B139" s="55"/>
      <c r="C139" s="56"/>
      <c r="D139" s="34">
        <v>4100</v>
      </c>
      <c r="E139" s="14" t="s">
        <v>125</v>
      </c>
      <c r="F139" s="28">
        <v>1329</v>
      </c>
      <c r="G139" s="90">
        <v>164</v>
      </c>
      <c r="H139" s="12">
        <f t="shared" si="8"/>
        <v>0.12340105342362678</v>
      </c>
    </row>
    <row r="140" spans="2:8" ht="22.5">
      <c r="B140" s="55"/>
      <c r="C140" s="56"/>
      <c r="D140" s="34">
        <v>4110</v>
      </c>
      <c r="E140" s="14" t="s">
        <v>20</v>
      </c>
      <c r="F140" s="28">
        <v>266</v>
      </c>
      <c r="G140" s="90">
        <v>28</v>
      </c>
      <c r="H140" s="12">
        <f t="shared" si="8"/>
        <v>0.10526315789473684</v>
      </c>
    </row>
    <row r="141" spans="2:8" ht="12.75">
      <c r="B141" s="55"/>
      <c r="C141" s="56"/>
      <c r="D141" s="34">
        <v>4120</v>
      </c>
      <c r="E141" s="14" t="s">
        <v>24</v>
      </c>
      <c r="F141" s="28">
        <v>177</v>
      </c>
      <c r="G141" s="90">
        <v>4</v>
      </c>
      <c r="H141" s="12">
        <f t="shared" si="8"/>
        <v>0.022598870056497175</v>
      </c>
    </row>
    <row r="142" spans="2:10" ht="22.5">
      <c r="B142" s="55"/>
      <c r="C142" s="56"/>
      <c r="D142" s="34">
        <v>4170</v>
      </c>
      <c r="E142" s="14" t="s">
        <v>117</v>
      </c>
      <c r="F142" s="28">
        <v>7032</v>
      </c>
      <c r="G142" s="90">
        <v>7029</v>
      </c>
      <c r="H142" s="12">
        <f t="shared" si="8"/>
        <v>0.9995733788395904</v>
      </c>
      <c r="I142" s="27"/>
      <c r="J142" s="27"/>
    </row>
    <row r="143" spans="2:8" ht="12.75">
      <c r="B143" s="55"/>
      <c r="C143" s="56"/>
      <c r="D143" s="34"/>
      <c r="E143" s="14"/>
      <c r="F143" s="28" t="s">
        <v>57</v>
      </c>
      <c r="G143" s="90"/>
      <c r="H143" s="54"/>
    </row>
    <row r="144" spans="2:8" ht="24.75" customHeight="1">
      <c r="B144" s="50">
        <v>757</v>
      </c>
      <c r="C144" s="56"/>
      <c r="D144" s="34"/>
      <c r="E144" s="53" t="s">
        <v>58</v>
      </c>
      <c r="F144" s="59">
        <f>SUM(F147)</f>
        <v>440031</v>
      </c>
      <c r="G144" s="89">
        <f>SUM(G146)</f>
        <v>65304.2</v>
      </c>
      <c r="H144" s="54">
        <f>G144/F144</f>
        <v>0.14840818033274927</v>
      </c>
    </row>
    <row r="145" spans="2:8" ht="12.75">
      <c r="B145" s="50"/>
      <c r="C145" s="56"/>
      <c r="D145" s="34"/>
      <c r="E145" s="14"/>
      <c r="F145" s="28"/>
      <c r="G145" s="90"/>
      <c r="H145" s="54"/>
    </row>
    <row r="146" spans="2:8" ht="45">
      <c r="B146" s="55"/>
      <c r="C146" s="56">
        <v>75702</v>
      </c>
      <c r="D146" s="34"/>
      <c r="E146" s="14" t="s">
        <v>59</v>
      </c>
      <c r="F146" s="28">
        <f>SUM(F147)</f>
        <v>440031</v>
      </c>
      <c r="G146" s="90">
        <f>SUM(G147)</f>
        <v>65304.2</v>
      </c>
      <c r="H146" s="12">
        <f>G146/F146</f>
        <v>0.14840818033274927</v>
      </c>
    </row>
    <row r="147" spans="2:8" ht="45">
      <c r="B147" s="55"/>
      <c r="C147" s="56"/>
      <c r="D147" s="34">
        <v>8070</v>
      </c>
      <c r="E147" s="14" t="s">
        <v>60</v>
      </c>
      <c r="F147" s="28">
        <v>440031</v>
      </c>
      <c r="G147" s="90">
        <v>65304.2</v>
      </c>
      <c r="H147" s="12">
        <f>G147/F147</f>
        <v>0.14840818033274927</v>
      </c>
    </row>
    <row r="148" spans="2:8" ht="12.75">
      <c r="B148" s="55"/>
      <c r="C148" s="56"/>
      <c r="D148" s="34"/>
      <c r="E148" s="14"/>
      <c r="F148" s="28"/>
      <c r="G148" s="90"/>
      <c r="H148" s="54"/>
    </row>
    <row r="149" spans="2:8" ht="12.75">
      <c r="B149" s="50">
        <v>758</v>
      </c>
      <c r="C149" s="57"/>
      <c r="D149" s="58"/>
      <c r="E149" s="53" t="s">
        <v>61</v>
      </c>
      <c r="F149" s="59">
        <f>F151+F154</f>
        <v>759583</v>
      </c>
      <c r="G149" s="89">
        <f>G151+G154</f>
        <v>365091.48</v>
      </c>
      <c r="H149" s="54">
        <f>G149/F149</f>
        <v>0.48064724987262747</v>
      </c>
    </row>
    <row r="150" spans="2:8" ht="12.75">
      <c r="B150" s="50"/>
      <c r="C150" s="57"/>
      <c r="D150" s="58"/>
      <c r="E150" s="53"/>
      <c r="F150" s="59"/>
      <c r="G150" s="89"/>
      <c r="H150" s="54"/>
    </row>
    <row r="151" spans="2:8" ht="33.75">
      <c r="B151" s="55"/>
      <c r="C151" s="56">
        <v>75802</v>
      </c>
      <c r="D151" s="58"/>
      <c r="E151" s="14" t="s">
        <v>119</v>
      </c>
      <c r="F151" s="28">
        <f>F152</f>
        <v>730177</v>
      </c>
      <c r="G151" s="90">
        <f>SUM(G152)</f>
        <v>365091.48</v>
      </c>
      <c r="H151" s="12">
        <f>G151/F151</f>
        <v>0.5000040812022291</v>
      </c>
    </row>
    <row r="152" spans="2:9" ht="33.75">
      <c r="B152" s="55"/>
      <c r="C152" s="57"/>
      <c r="D152" s="34">
        <v>2930</v>
      </c>
      <c r="E152" s="14" t="s">
        <v>62</v>
      </c>
      <c r="F152" s="28">
        <v>730177</v>
      </c>
      <c r="G152" s="90">
        <v>365091.48</v>
      </c>
      <c r="H152" s="12">
        <f>G152/F152</f>
        <v>0.5000040812022291</v>
      </c>
      <c r="I152" s="1"/>
    </row>
    <row r="153" spans="2:8" ht="12.75">
      <c r="B153" s="55"/>
      <c r="C153" s="57"/>
      <c r="D153" s="34"/>
      <c r="E153" s="14"/>
      <c r="F153" s="28"/>
      <c r="G153" s="90"/>
      <c r="H153" s="12"/>
    </row>
    <row r="154" spans="2:8" ht="12.75">
      <c r="B154" s="55"/>
      <c r="C154" s="56">
        <v>75818</v>
      </c>
      <c r="D154" s="34"/>
      <c r="E154" s="14" t="s">
        <v>63</v>
      </c>
      <c r="F154" s="28">
        <f>SUM(F155)</f>
        <v>29406</v>
      </c>
      <c r="G154" s="90">
        <f>SUM(G155)</f>
        <v>0</v>
      </c>
      <c r="H154" s="12">
        <f>G154/F154</f>
        <v>0</v>
      </c>
    </row>
    <row r="155" spans="2:9" ht="12.75">
      <c r="B155" s="55"/>
      <c r="C155" s="56"/>
      <c r="D155" s="34">
        <v>4810</v>
      </c>
      <c r="E155" s="14" t="s">
        <v>64</v>
      </c>
      <c r="F155" s="28">
        <v>29406</v>
      </c>
      <c r="G155" s="90">
        <v>0</v>
      </c>
      <c r="H155" s="12">
        <f>G155/F155</f>
        <v>0</v>
      </c>
      <c r="I155" s="22"/>
    </row>
    <row r="156" spans="2:9" ht="12.75">
      <c r="B156" s="55"/>
      <c r="C156" s="56"/>
      <c r="D156" s="34"/>
      <c r="E156" s="14"/>
      <c r="F156" s="28"/>
      <c r="G156" s="90"/>
      <c r="H156" s="12"/>
      <c r="I156" s="22"/>
    </row>
    <row r="157" spans="2:9" ht="12.75">
      <c r="B157" s="50">
        <v>801</v>
      </c>
      <c r="C157" s="57"/>
      <c r="D157" s="58"/>
      <c r="E157" s="53" t="s">
        <v>65</v>
      </c>
      <c r="F157" s="59">
        <f>SUM(F159++F177++F193+F208+F214+F226+F241+F244)</f>
        <v>5110524</v>
      </c>
      <c r="G157" s="89">
        <f>G159+G177+G193+G208+G214+G226+G241+G244</f>
        <v>2174640.57</v>
      </c>
      <c r="H157" s="54">
        <f>G157/F157</f>
        <v>0.425522034531097</v>
      </c>
      <c r="I157" s="1"/>
    </row>
    <row r="158" spans="2:8" ht="12.75">
      <c r="B158" s="50"/>
      <c r="C158" s="57"/>
      <c r="D158" s="58"/>
      <c r="E158" s="53"/>
      <c r="F158" s="59"/>
      <c r="G158" s="89"/>
      <c r="H158" s="54"/>
    </row>
    <row r="159" spans="2:8" ht="12.75">
      <c r="B159" s="55"/>
      <c r="C159" s="56">
        <v>80101</v>
      </c>
      <c r="D159" s="34"/>
      <c r="E159" s="14" t="s">
        <v>66</v>
      </c>
      <c r="F159" s="28">
        <f>SUM(F160:F175)</f>
        <v>1534639</v>
      </c>
      <c r="G159" s="90">
        <f>SUM(G160:G175)</f>
        <v>784966.1399999998</v>
      </c>
      <c r="H159" s="12">
        <f aca="true" t="shared" si="9" ref="H159:H175">G159/F159</f>
        <v>0.511498886708861</v>
      </c>
    </row>
    <row r="160" spans="2:8" ht="33.75">
      <c r="B160" s="55"/>
      <c r="C160" s="56"/>
      <c r="D160" s="34">
        <v>3020</v>
      </c>
      <c r="E160" s="14" t="s">
        <v>67</v>
      </c>
      <c r="F160" s="28">
        <v>5207</v>
      </c>
      <c r="G160" s="90">
        <v>2710</v>
      </c>
      <c r="H160" s="12">
        <f t="shared" si="9"/>
        <v>0.5204532360284233</v>
      </c>
    </row>
    <row r="161" spans="2:8" ht="22.5">
      <c r="B161" s="55"/>
      <c r="C161" s="56"/>
      <c r="D161" s="34">
        <v>3260</v>
      </c>
      <c r="E161" s="14" t="s">
        <v>128</v>
      </c>
      <c r="F161" s="28">
        <v>2253</v>
      </c>
      <c r="G161" s="90">
        <v>0</v>
      </c>
      <c r="H161" s="12">
        <f t="shared" si="9"/>
        <v>0</v>
      </c>
    </row>
    <row r="162" spans="2:8" ht="22.5">
      <c r="B162" s="55"/>
      <c r="C162" s="56"/>
      <c r="D162" s="34">
        <v>4010</v>
      </c>
      <c r="E162" s="14" t="s">
        <v>36</v>
      </c>
      <c r="F162" s="28">
        <v>967380</v>
      </c>
      <c r="G162" s="90">
        <v>456257.48</v>
      </c>
      <c r="H162" s="12">
        <f t="shared" si="9"/>
        <v>0.4716424569455643</v>
      </c>
    </row>
    <row r="163" spans="2:8" ht="22.5">
      <c r="B163" s="55"/>
      <c r="C163" s="56"/>
      <c r="D163" s="34">
        <v>4040</v>
      </c>
      <c r="E163" s="14" t="s">
        <v>43</v>
      </c>
      <c r="F163" s="28">
        <v>75035</v>
      </c>
      <c r="G163" s="90">
        <v>75034.7</v>
      </c>
      <c r="H163" s="12">
        <f t="shared" si="9"/>
        <v>0.999996001865796</v>
      </c>
    </row>
    <row r="164" spans="2:8" ht="22.5">
      <c r="B164" s="55"/>
      <c r="C164" s="56"/>
      <c r="D164" s="34">
        <v>4110</v>
      </c>
      <c r="E164" s="14" t="s">
        <v>20</v>
      </c>
      <c r="F164" s="28">
        <v>181285</v>
      </c>
      <c r="G164" s="90">
        <v>95469.38</v>
      </c>
      <c r="H164" s="12">
        <f t="shared" si="9"/>
        <v>0.5266259205119012</v>
      </c>
    </row>
    <row r="165" spans="2:8" ht="12.75">
      <c r="B165" s="55"/>
      <c r="C165" s="56"/>
      <c r="D165" s="34">
        <v>4120</v>
      </c>
      <c r="E165" s="14" t="s">
        <v>24</v>
      </c>
      <c r="F165" s="28">
        <v>24273</v>
      </c>
      <c r="G165" s="90">
        <v>12800.46</v>
      </c>
      <c r="H165" s="12">
        <f t="shared" si="9"/>
        <v>0.5273538499567421</v>
      </c>
    </row>
    <row r="166" spans="2:8" ht="22.5">
      <c r="B166" s="55"/>
      <c r="C166" s="56"/>
      <c r="D166" s="34">
        <v>4170</v>
      </c>
      <c r="E166" s="14" t="s">
        <v>117</v>
      </c>
      <c r="F166" s="28">
        <v>1500</v>
      </c>
      <c r="G166" s="90">
        <v>476</v>
      </c>
      <c r="H166" s="12">
        <f t="shared" si="9"/>
        <v>0.31733333333333336</v>
      </c>
    </row>
    <row r="167" spans="2:8" ht="22.5">
      <c r="B167" s="55"/>
      <c r="C167" s="56"/>
      <c r="D167" s="34">
        <v>4210</v>
      </c>
      <c r="E167" s="14" t="s">
        <v>23</v>
      </c>
      <c r="F167" s="28">
        <v>37100</v>
      </c>
      <c r="G167" s="90">
        <v>13055.19</v>
      </c>
      <c r="H167" s="12">
        <f t="shared" si="9"/>
        <v>0.35189191374663076</v>
      </c>
    </row>
    <row r="168" spans="2:8" ht="22.5">
      <c r="B168" s="55"/>
      <c r="C168" s="56"/>
      <c r="D168" s="34">
        <v>4240</v>
      </c>
      <c r="E168" s="14" t="s">
        <v>68</v>
      </c>
      <c r="F168" s="28">
        <v>1500</v>
      </c>
      <c r="G168" s="90">
        <v>0</v>
      </c>
      <c r="H168" s="12">
        <f t="shared" si="9"/>
        <v>0</v>
      </c>
    </row>
    <row r="169" spans="2:8" ht="12.75">
      <c r="B169" s="55"/>
      <c r="C169" s="56"/>
      <c r="D169" s="34">
        <v>4260</v>
      </c>
      <c r="E169" s="14" t="s">
        <v>69</v>
      </c>
      <c r="F169" s="28">
        <v>74590</v>
      </c>
      <c r="G169" s="90">
        <v>45068.49</v>
      </c>
      <c r="H169" s="12">
        <f t="shared" si="9"/>
        <v>0.6042162488269205</v>
      </c>
    </row>
    <row r="170" spans="2:9" ht="12.75">
      <c r="B170" s="55"/>
      <c r="C170" s="56"/>
      <c r="D170" s="34">
        <v>4270</v>
      </c>
      <c r="E170" s="14" t="s">
        <v>21</v>
      </c>
      <c r="F170" s="28">
        <f>6000+30000</f>
        <v>36000</v>
      </c>
      <c r="G170" s="90">
        <v>2685.6</v>
      </c>
      <c r="H170" s="12">
        <f t="shared" si="9"/>
        <v>0.0746</v>
      </c>
      <c r="I170" s="1"/>
    </row>
    <row r="171" spans="2:9" ht="12.75">
      <c r="B171" s="55"/>
      <c r="C171" s="56"/>
      <c r="D171" s="34">
        <v>4280</v>
      </c>
      <c r="E171" s="14" t="s">
        <v>94</v>
      </c>
      <c r="F171" s="28">
        <v>1500</v>
      </c>
      <c r="G171" s="90">
        <v>45</v>
      </c>
      <c r="H171" s="12">
        <f t="shared" si="9"/>
        <v>0.03</v>
      </c>
      <c r="I171" s="1"/>
    </row>
    <row r="172" spans="2:8" ht="12.75">
      <c r="B172" s="55"/>
      <c r="C172" s="56"/>
      <c r="D172" s="34">
        <v>4300</v>
      </c>
      <c r="E172" s="14" t="s">
        <v>31</v>
      </c>
      <c r="F172" s="28">
        <f>16660+23979</f>
        <v>40639</v>
      </c>
      <c r="G172" s="90">
        <v>14054.48</v>
      </c>
      <c r="H172" s="12">
        <f t="shared" si="9"/>
        <v>0.345837249932331</v>
      </c>
    </row>
    <row r="173" spans="2:8" ht="22.5">
      <c r="B173" s="55"/>
      <c r="C173" s="56"/>
      <c r="D173" s="34">
        <v>4350</v>
      </c>
      <c r="E173" s="14" t="s">
        <v>131</v>
      </c>
      <c r="F173" s="28">
        <v>3000</v>
      </c>
      <c r="G173" s="90">
        <v>87.84</v>
      </c>
      <c r="H173" s="12">
        <f t="shared" si="9"/>
        <v>0.02928</v>
      </c>
    </row>
    <row r="174" spans="2:8" ht="12.75">
      <c r="B174" s="55"/>
      <c r="C174" s="56"/>
      <c r="D174" s="34">
        <v>4410</v>
      </c>
      <c r="E174" s="14" t="s">
        <v>39</v>
      </c>
      <c r="F174" s="28">
        <v>1500</v>
      </c>
      <c r="G174" s="90">
        <v>721.52</v>
      </c>
      <c r="H174" s="12">
        <f t="shared" si="9"/>
        <v>0.48101333333333335</v>
      </c>
    </row>
    <row r="175" spans="2:8" ht="22.5">
      <c r="B175" s="55"/>
      <c r="C175" s="56"/>
      <c r="D175" s="34">
        <v>4440</v>
      </c>
      <c r="E175" s="14" t="s">
        <v>70</v>
      </c>
      <c r="F175" s="28">
        <v>81877</v>
      </c>
      <c r="G175" s="90">
        <v>66500</v>
      </c>
      <c r="H175" s="12">
        <f t="shared" si="9"/>
        <v>0.812193900607008</v>
      </c>
    </row>
    <row r="176" spans="2:8" ht="12.75">
      <c r="B176" s="55"/>
      <c r="C176" s="56"/>
      <c r="D176" s="34"/>
      <c r="E176" s="14"/>
      <c r="F176" s="28"/>
      <c r="G176" s="90"/>
      <c r="H176" s="12"/>
    </row>
    <row r="177" spans="2:8" ht="12.75">
      <c r="B177" s="55"/>
      <c r="C177" s="56">
        <v>80104</v>
      </c>
      <c r="D177" s="34"/>
      <c r="E177" s="14" t="s">
        <v>71</v>
      </c>
      <c r="F177" s="28">
        <f>SUM(F178:F191)</f>
        <v>1062976</v>
      </c>
      <c r="G177" s="90">
        <f>SUM(G178:G191)</f>
        <v>415557.37000000005</v>
      </c>
      <c r="H177" s="12">
        <f aca="true" t="shared" si="10" ref="H177:H191">G177/F177</f>
        <v>0.3909376787434524</v>
      </c>
    </row>
    <row r="178" spans="2:8" ht="33.75">
      <c r="B178" s="55"/>
      <c r="C178" s="56"/>
      <c r="D178" s="34">
        <v>3020</v>
      </c>
      <c r="E178" s="14" t="s">
        <v>67</v>
      </c>
      <c r="F178" s="28">
        <v>1080</v>
      </c>
      <c r="G178" s="90">
        <v>0</v>
      </c>
      <c r="H178" s="12">
        <f t="shared" si="10"/>
        <v>0</v>
      </c>
    </row>
    <row r="179" spans="2:8" ht="22.5">
      <c r="B179" s="55"/>
      <c r="C179" s="56"/>
      <c r="D179" s="34">
        <v>4010</v>
      </c>
      <c r="E179" s="14" t="s">
        <v>36</v>
      </c>
      <c r="F179" s="28">
        <v>541854</v>
      </c>
      <c r="G179" s="90">
        <v>246625.57</v>
      </c>
      <c r="H179" s="12">
        <f t="shared" si="10"/>
        <v>0.45515133227769844</v>
      </c>
    </row>
    <row r="180" spans="2:8" ht="22.5">
      <c r="B180" s="55"/>
      <c r="C180" s="56"/>
      <c r="D180" s="34">
        <v>4040</v>
      </c>
      <c r="E180" s="14" t="s">
        <v>43</v>
      </c>
      <c r="F180" s="28">
        <v>36562</v>
      </c>
      <c r="G180" s="90">
        <v>36561.3</v>
      </c>
      <c r="H180" s="12">
        <f t="shared" si="10"/>
        <v>0.9999808544390352</v>
      </c>
    </row>
    <row r="181" spans="2:8" ht="22.5">
      <c r="B181" s="55"/>
      <c r="C181" s="56"/>
      <c r="D181" s="34">
        <v>4110</v>
      </c>
      <c r="E181" s="14" t="s">
        <v>20</v>
      </c>
      <c r="F181" s="28">
        <v>97368</v>
      </c>
      <c r="G181" s="90">
        <v>50284</v>
      </c>
      <c r="H181" s="12">
        <f t="shared" si="10"/>
        <v>0.516432503491907</v>
      </c>
    </row>
    <row r="182" spans="2:8" ht="12.75">
      <c r="B182" s="55"/>
      <c r="C182" s="56"/>
      <c r="D182" s="34">
        <v>4120</v>
      </c>
      <c r="E182" s="14" t="s">
        <v>24</v>
      </c>
      <c r="F182" s="28">
        <v>14018</v>
      </c>
      <c r="G182" s="90">
        <v>6742.18</v>
      </c>
      <c r="H182" s="12">
        <f t="shared" si="10"/>
        <v>0.4809659009844486</v>
      </c>
    </row>
    <row r="183" spans="2:8" ht="22.5">
      <c r="B183" s="55"/>
      <c r="C183" s="56"/>
      <c r="D183" s="34">
        <v>4240</v>
      </c>
      <c r="E183" s="14" t="s">
        <v>72</v>
      </c>
      <c r="F183" s="28">
        <v>2000</v>
      </c>
      <c r="G183" s="90">
        <v>1469.09</v>
      </c>
      <c r="H183" s="12">
        <f t="shared" si="10"/>
        <v>0.734545</v>
      </c>
    </row>
    <row r="184" spans="2:8" ht="22.5">
      <c r="B184" s="55"/>
      <c r="C184" s="56"/>
      <c r="D184" s="34">
        <v>4210</v>
      </c>
      <c r="E184" s="14" t="s">
        <v>23</v>
      </c>
      <c r="F184" s="28">
        <v>15400</v>
      </c>
      <c r="G184" s="90">
        <v>3086.41</v>
      </c>
      <c r="H184" s="12">
        <f t="shared" si="10"/>
        <v>0.20041623376623377</v>
      </c>
    </row>
    <row r="185" spans="2:8" ht="12.75">
      <c r="B185" s="55"/>
      <c r="C185" s="56"/>
      <c r="D185" s="34">
        <v>4260</v>
      </c>
      <c r="E185" s="14" t="s">
        <v>69</v>
      </c>
      <c r="F185" s="28">
        <v>80900</v>
      </c>
      <c r="G185" s="90">
        <v>30972.77</v>
      </c>
      <c r="H185" s="12">
        <f t="shared" si="10"/>
        <v>0.38285253399258345</v>
      </c>
    </row>
    <row r="186" spans="2:8" ht="12.75">
      <c r="B186" s="55"/>
      <c r="C186" s="56"/>
      <c r="D186" s="34">
        <v>4270</v>
      </c>
      <c r="E186" s="14" t="s">
        <v>21</v>
      </c>
      <c r="F186" s="28">
        <f>6000+12000</f>
        <v>18000</v>
      </c>
      <c r="G186" s="90">
        <v>553.75</v>
      </c>
      <c r="H186" s="12">
        <f t="shared" si="10"/>
        <v>0.03076388888888889</v>
      </c>
    </row>
    <row r="187" spans="2:8" ht="12.75">
      <c r="B187" s="55"/>
      <c r="C187" s="56"/>
      <c r="D187" s="34">
        <v>4280</v>
      </c>
      <c r="E187" s="14" t="s">
        <v>94</v>
      </c>
      <c r="F187" s="28">
        <v>1000</v>
      </c>
      <c r="G187" s="90">
        <v>0</v>
      </c>
      <c r="H187" s="12">
        <f t="shared" si="10"/>
        <v>0</v>
      </c>
    </row>
    <row r="188" spans="2:8" ht="12.75">
      <c r="B188" s="55"/>
      <c r="C188" s="56"/>
      <c r="D188" s="34">
        <v>4300</v>
      </c>
      <c r="E188" s="14" t="s">
        <v>31</v>
      </c>
      <c r="F188" s="28">
        <f>7750-1000</f>
        <v>6750</v>
      </c>
      <c r="G188" s="90">
        <v>3251.15</v>
      </c>
      <c r="H188" s="12">
        <f t="shared" si="10"/>
        <v>0.4816518518518519</v>
      </c>
    </row>
    <row r="189" spans="2:8" ht="12.75">
      <c r="B189" s="55"/>
      <c r="C189" s="56"/>
      <c r="D189" s="34">
        <v>4410</v>
      </c>
      <c r="E189" s="14" t="s">
        <v>39</v>
      </c>
      <c r="F189" s="28">
        <v>500</v>
      </c>
      <c r="G189" s="90">
        <v>107.15</v>
      </c>
      <c r="H189" s="12">
        <f t="shared" si="10"/>
        <v>0.21430000000000002</v>
      </c>
    </row>
    <row r="190" spans="2:8" ht="33.75">
      <c r="B190" s="55"/>
      <c r="C190" s="56"/>
      <c r="D190" s="34">
        <v>4440</v>
      </c>
      <c r="E190" s="14" t="s">
        <v>45</v>
      </c>
      <c r="F190" s="28">
        <v>42544</v>
      </c>
      <c r="G190" s="90">
        <v>32000</v>
      </c>
      <c r="H190" s="12">
        <f t="shared" si="10"/>
        <v>0.752162467092892</v>
      </c>
    </row>
    <row r="191" spans="2:8" ht="22.5">
      <c r="B191" s="55"/>
      <c r="C191" s="56"/>
      <c r="D191" s="34">
        <v>6050</v>
      </c>
      <c r="E191" s="14" t="s">
        <v>25</v>
      </c>
      <c r="F191" s="28">
        <f>165000+40000</f>
        <v>205000</v>
      </c>
      <c r="G191" s="90">
        <v>3904</v>
      </c>
      <c r="H191" s="12">
        <f t="shared" si="10"/>
        <v>0.01904390243902439</v>
      </c>
    </row>
    <row r="192" spans="2:8" ht="12.75">
      <c r="B192" s="55"/>
      <c r="C192" s="56"/>
      <c r="D192" s="34"/>
      <c r="E192" s="14"/>
      <c r="F192" s="28"/>
      <c r="G192" s="90"/>
      <c r="H192" s="12"/>
    </row>
    <row r="193" spans="2:8" ht="12.75">
      <c r="B193" s="55"/>
      <c r="C193" s="56">
        <v>80110</v>
      </c>
      <c r="D193" s="34"/>
      <c r="E193" s="14" t="s">
        <v>73</v>
      </c>
      <c r="F193" s="28">
        <f>SUM(F194:F206)</f>
        <v>1157567</v>
      </c>
      <c r="G193" s="90">
        <f>SUM(G194:G206)</f>
        <v>605392.49</v>
      </c>
      <c r="H193" s="12">
        <f aca="true" t="shared" si="11" ref="H193:H206">G193/F193</f>
        <v>0.5229869977288572</v>
      </c>
    </row>
    <row r="194" spans="2:8" ht="22.5" customHeight="1">
      <c r="B194" s="55"/>
      <c r="C194" s="56"/>
      <c r="D194" s="34">
        <v>3020</v>
      </c>
      <c r="E194" s="14" t="s">
        <v>67</v>
      </c>
      <c r="F194" s="28">
        <v>4512</v>
      </c>
      <c r="G194" s="90">
        <v>0</v>
      </c>
      <c r="H194" s="12">
        <f t="shared" si="11"/>
        <v>0</v>
      </c>
    </row>
    <row r="195" spans="2:8" ht="22.5">
      <c r="B195" s="55"/>
      <c r="C195" s="56"/>
      <c r="D195" s="34">
        <v>4010</v>
      </c>
      <c r="E195" s="14" t="s">
        <v>36</v>
      </c>
      <c r="F195" s="28">
        <v>744083</v>
      </c>
      <c r="G195" s="90">
        <v>361409</v>
      </c>
      <c r="H195" s="12">
        <f t="shared" si="11"/>
        <v>0.48571059948957307</v>
      </c>
    </row>
    <row r="196" spans="2:8" ht="22.5">
      <c r="B196" s="55"/>
      <c r="C196" s="56"/>
      <c r="D196" s="34">
        <v>4040</v>
      </c>
      <c r="E196" s="14" t="s">
        <v>43</v>
      </c>
      <c r="F196" s="28">
        <v>44163</v>
      </c>
      <c r="G196" s="90">
        <v>44163</v>
      </c>
      <c r="H196" s="12">
        <f t="shared" si="11"/>
        <v>1</v>
      </c>
    </row>
    <row r="197" spans="2:8" ht="22.5">
      <c r="B197" s="55"/>
      <c r="C197" s="56"/>
      <c r="D197" s="34">
        <v>4110</v>
      </c>
      <c r="E197" s="14" t="s">
        <v>20</v>
      </c>
      <c r="F197" s="28">
        <v>135578</v>
      </c>
      <c r="G197" s="90">
        <v>68875</v>
      </c>
      <c r="H197" s="12">
        <f t="shared" si="11"/>
        <v>0.5080101491392409</v>
      </c>
    </row>
    <row r="198" spans="2:8" ht="12.75">
      <c r="B198" s="55"/>
      <c r="C198" s="56"/>
      <c r="D198" s="34">
        <v>4120</v>
      </c>
      <c r="E198" s="14" t="s">
        <v>24</v>
      </c>
      <c r="F198" s="28">
        <v>18681</v>
      </c>
      <c r="G198" s="90">
        <v>9469</v>
      </c>
      <c r="H198" s="12">
        <f t="shared" si="11"/>
        <v>0.5068786467533858</v>
      </c>
    </row>
    <row r="199" spans="2:8" ht="22.5">
      <c r="B199" s="55"/>
      <c r="C199" s="56"/>
      <c r="D199" s="34">
        <v>4170</v>
      </c>
      <c r="E199" s="14" t="s">
        <v>117</v>
      </c>
      <c r="F199" s="28">
        <v>1000</v>
      </c>
      <c r="G199" s="90">
        <v>0</v>
      </c>
      <c r="H199" s="12">
        <f t="shared" si="11"/>
        <v>0</v>
      </c>
    </row>
    <row r="200" spans="2:8" ht="22.5">
      <c r="B200" s="55"/>
      <c r="C200" s="56"/>
      <c r="D200" s="34">
        <v>4210</v>
      </c>
      <c r="E200" s="14" t="s">
        <v>23</v>
      </c>
      <c r="F200" s="28">
        <v>8350</v>
      </c>
      <c r="G200" s="90">
        <v>6073</v>
      </c>
      <c r="H200" s="12">
        <f t="shared" si="11"/>
        <v>0.7273053892215569</v>
      </c>
    </row>
    <row r="201" spans="2:8" ht="12.75">
      <c r="B201" s="55"/>
      <c r="C201" s="56"/>
      <c r="D201" s="34">
        <v>4260</v>
      </c>
      <c r="E201" s="14" t="s">
        <v>69</v>
      </c>
      <c r="F201" s="28">
        <v>126670</v>
      </c>
      <c r="G201" s="90">
        <v>74152</v>
      </c>
      <c r="H201" s="12">
        <f t="shared" si="11"/>
        <v>0.5853951211810215</v>
      </c>
    </row>
    <row r="202" spans="2:8" ht="12.75">
      <c r="B202" s="55"/>
      <c r="C202" s="56"/>
      <c r="D202" s="34">
        <v>4270</v>
      </c>
      <c r="E202" s="14" t="s">
        <v>21</v>
      </c>
      <c r="F202" s="28">
        <f>5500+10000</f>
        <v>15500</v>
      </c>
      <c r="G202" s="90">
        <v>1329</v>
      </c>
      <c r="H202" s="12">
        <f t="shared" si="11"/>
        <v>0.08574193548387096</v>
      </c>
    </row>
    <row r="203" spans="2:8" ht="12.75">
      <c r="B203" s="55"/>
      <c r="C203" s="56"/>
      <c r="D203" s="34">
        <v>4280</v>
      </c>
      <c r="E203" s="14" t="s">
        <v>94</v>
      </c>
      <c r="F203" s="28">
        <v>1000</v>
      </c>
      <c r="G203" s="90">
        <v>340</v>
      </c>
      <c r="H203" s="12">
        <f t="shared" si="11"/>
        <v>0.34</v>
      </c>
    </row>
    <row r="204" spans="2:8" ht="12.75">
      <c r="B204" s="55"/>
      <c r="C204" s="56"/>
      <c r="D204" s="34">
        <v>4300</v>
      </c>
      <c r="E204" s="14" t="s">
        <v>31</v>
      </c>
      <c r="F204" s="28">
        <v>11440</v>
      </c>
      <c r="G204" s="90">
        <v>4459.96</v>
      </c>
      <c r="H204" s="12">
        <f t="shared" si="11"/>
        <v>0.3898566433566434</v>
      </c>
    </row>
    <row r="205" spans="2:8" ht="12.75">
      <c r="B205" s="55"/>
      <c r="C205" s="56"/>
      <c r="D205" s="34">
        <v>4410</v>
      </c>
      <c r="E205" s="14" t="s">
        <v>39</v>
      </c>
      <c r="F205" s="28">
        <v>1500</v>
      </c>
      <c r="G205" s="90">
        <v>1122.53</v>
      </c>
      <c r="H205" s="12">
        <f t="shared" si="11"/>
        <v>0.7483533333333333</v>
      </c>
    </row>
    <row r="206" spans="2:8" ht="33.75">
      <c r="B206" s="55"/>
      <c r="C206" s="56"/>
      <c r="D206" s="34">
        <v>4440</v>
      </c>
      <c r="E206" s="14" t="s">
        <v>45</v>
      </c>
      <c r="F206" s="28">
        <v>45090</v>
      </c>
      <c r="G206" s="90">
        <v>34000</v>
      </c>
      <c r="H206" s="12">
        <f t="shared" si="11"/>
        <v>0.754047460634287</v>
      </c>
    </row>
    <row r="207" spans="2:8" ht="12.75">
      <c r="B207" s="55"/>
      <c r="C207" s="56"/>
      <c r="D207" s="34"/>
      <c r="E207" s="14"/>
      <c r="F207" s="28"/>
      <c r="G207" s="90"/>
      <c r="H207" s="12"/>
    </row>
    <row r="208" spans="2:8" ht="22.5">
      <c r="B208" s="55"/>
      <c r="C208" s="56">
        <v>80113</v>
      </c>
      <c r="D208" s="34"/>
      <c r="E208" s="14" t="s">
        <v>74</v>
      </c>
      <c r="F208" s="28">
        <f>SUM(F209:F212)</f>
        <v>97087</v>
      </c>
      <c r="G208" s="90">
        <f>SUM(G209:G212)</f>
        <v>55917.759999999995</v>
      </c>
      <c r="H208" s="12">
        <f>G208/F208</f>
        <v>0.5759551742251794</v>
      </c>
    </row>
    <row r="209" spans="2:8" ht="22.5">
      <c r="B209" s="55"/>
      <c r="C209" s="56"/>
      <c r="D209" s="34">
        <v>4110</v>
      </c>
      <c r="E209" s="14" t="s">
        <v>20</v>
      </c>
      <c r="F209" s="28">
        <v>1867</v>
      </c>
      <c r="G209" s="90">
        <v>1101.89</v>
      </c>
      <c r="H209" s="12">
        <f>G209/F209</f>
        <v>0.5901928227102303</v>
      </c>
    </row>
    <row r="210" spans="2:8" ht="12.75">
      <c r="B210" s="55"/>
      <c r="C210" s="56"/>
      <c r="D210" s="34">
        <v>4120</v>
      </c>
      <c r="E210" s="14" t="s">
        <v>24</v>
      </c>
      <c r="F210" s="28">
        <v>110</v>
      </c>
      <c r="G210" s="90">
        <v>95.55</v>
      </c>
      <c r="H210" s="12">
        <f>G210/F210</f>
        <v>0.8686363636363637</v>
      </c>
    </row>
    <row r="211" spans="2:8" ht="22.5">
      <c r="B211" s="55"/>
      <c r="C211" s="56"/>
      <c r="D211" s="34">
        <v>4170</v>
      </c>
      <c r="E211" s="14" t="s">
        <v>117</v>
      </c>
      <c r="F211" s="28">
        <v>10850</v>
      </c>
      <c r="G211" s="90">
        <v>6364.4</v>
      </c>
      <c r="H211" s="12">
        <f>G211/F211</f>
        <v>0.5865806451612903</v>
      </c>
    </row>
    <row r="212" spans="2:8" ht="12.75">
      <c r="B212" s="55"/>
      <c r="C212" s="56"/>
      <c r="D212" s="34">
        <v>4300</v>
      </c>
      <c r="E212" s="14" t="s">
        <v>31</v>
      </c>
      <c r="F212" s="28">
        <v>84260</v>
      </c>
      <c r="G212" s="90">
        <v>48355.92</v>
      </c>
      <c r="H212" s="12">
        <f>G212/F212</f>
        <v>0.5738893899833848</v>
      </c>
    </row>
    <row r="213" spans="2:8" ht="12.75">
      <c r="B213" s="55"/>
      <c r="C213" s="56"/>
      <c r="D213" s="34"/>
      <c r="E213" s="14"/>
      <c r="F213" s="28"/>
      <c r="G213" s="90"/>
      <c r="H213" s="12"/>
    </row>
    <row r="214" spans="2:8" ht="22.5">
      <c r="B214" s="55"/>
      <c r="C214" s="56">
        <v>80114</v>
      </c>
      <c r="D214" s="34"/>
      <c r="E214" s="14" t="s">
        <v>75</v>
      </c>
      <c r="F214" s="28">
        <f>SUM(F215:F224)</f>
        <v>172349</v>
      </c>
      <c r="G214" s="90">
        <f>SUM(G215:G224)</f>
        <v>88848.95999999999</v>
      </c>
      <c r="H214" s="12">
        <f aca="true" t="shared" si="12" ref="H214:H224">G214/F214</f>
        <v>0.5155176995514914</v>
      </c>
    </row>
    <row r="215" spans="2:8" ht="22.5">
      <c r="B215" s="55"/>
      <c r="C215" s="56"/>
      <c r="D215" s="34">
        <v>4010</v>
      </c>
      <c r="E215" s="14" t="s">
        <v>36</v>
      </c>
      <c r="F215" s="28">
        <v>114033</v>
      </c>
      <c r="G215" s="90">
        <v>53304</v>
      </c>
      <c r="H215" s="12">
        <f t="shared" si="12"/>
        <v>0.4674436347373129</v>
      </c>
    </row>
    <row r="216" spans="2:8" ht="22.5">
      <c r="B216" s="55"/>
      <c r="C216" s="56"/>
      <c r="D216" s="34">
        <v>4040</v>
      </c>
      <c r="E216" s="14" t="s">
        <v>43</v>
      </c>
      <c r="F216" s="28">
        <v>8468</v>
      </c>
      <c r="G216" s="90">
        <v>8467.5</v>
      </c>
      <c r="H216" s="12">
        <f t="shared" si="12"/>
        <v>0.999940954180444</v>
      </c>
    </row>
    <row r="217" spans="2:8" ht="22.5">
      <c r="B217" s="55"/>
      <c r="C217" s="56"/>
      <c r="D217" s="34">
        <v>4110</v>
      </c>
      <c r="E217" s="14" t="s">
        <v>20</v>
      </c>
      <c r="F217" s="28">
        <v>22289</v>
      </c>
      <c r="G217" s="90">
        <v>11372.45</v>
      </c>
      <c r="H217" s="12">
        <f t="shared" si="12"/>
        <v>0.5102270178114765</v>
      </c>
    </row>
    <row r="218" spans="2:8" ht="12.75">
      <c r="B218" s="55"/>
      <c r="C218" s="56"/>
      <c r="D218" s="34">
        <v>4120</v>
      </c>
      <c r="E218" s="14" t="s">
        <v>24</v>
      </c>
      <c r="F218" s="28">
        <v>3002</v>
      </c>
      <c r="G218" s="90">
        <v>1522.11</v>
      </c>
      <c r="H218" s="12">
        <f t="shared" si="12"/>
        <v>0.5070319786808793</v>
      </c>
    </row>
    <row r="219" spans="2:8" ht="22.5">
      <c r="B219" s="55"/>
      <c r="C219" s="56"/>
      <c r="D219" s="34">
        <v>4170</v>
      </c>
      <c r="E219" s="14" t="s">
        <v>117</v>
      </c>
      <c r="F219" s="28">
        <v>550</v>
      </c>
      <c r="G219" s="90">
        <v>550</v>
      </c>
      <c r="H219" s="12">
        <f t="shared" si="12"/>
        <v>1</v>
      </c>
    </row>
    <row r="220" spans="2:8" ht="22.5">
      <c r="B220" s="55"/>
      <c r="C220" s="56"/>
      <c r="D220" s="34">
        <v>4210</v>
      </c>
      <c r="E220" s="14" t="s">
        <v>23</v>
      </c>
      <c r="F220" s="28">
        <v>7300</v>
      </c>
      <c r="G220" s="90">
        <v>4538.22</v>
      </c>
      <c r="H220" s="12">
        <f t="shared" si="12"/>
        <v>0.6216739726027397</v>
      </c>
    </row>
    <row r="221" spans="2:8" ht="12.75">
      <c r="B221" s="55"/>
      <c r="C221" s="56"/>
      <c r="D221" s="34">
        <v>4280</v>
      </c>
      <c r="E221" s="14" t="s">
        <v>94</v>
      </c>
      <c r="F221" s="28">
        <v>200</v>
      </c>
      <c r="G221" s="90">
        <v>150</v>
      </c>
      <c r="H221" s="12">
        <f t="shared" si="12"/>
        <v>0.75</v>
      </c>
    </row>
    <row r="222" spans="2:8" ht="12.75">
      <c r="B222" s="55"/>
      <c r="C222" s="56"/>
      <c r="D222" s="34">
        <v>4300</v>
      </c>
      <c r="E222" s="14" t="s">
        <v>31</v>
      </c>
      <c r="F222" s="28">
        <v>12950</v>
      </c>
      <c r="G222" s="90">
        <v>5950.09</v>
      </c>
      <c r="H222" s="12">
        <f t="shared" si="12"/>
        <v>0.4594664092664093</v>
      </c>
    </row>
    <row r="223" spans="2:8" ht="12.75">
      <c r="B223" s="55"/>
      <c r="C223" s="56"/>
      <c r="D223" s="34">
        <v>4410</v>
      </c>
      <c r="E223" s="14" t="s">
        <v>39</v>
      </c>
      <c r="F223" s="28">
        <v>600</v>
      </c>
      <c r="G223" s="90">
        <v>494.59</v>
      </c>
      <c r="H223" s="12">
        <f t="shared" si="12"/>
        <v>0.8243166666666666</v>
      </c>
    </row>
    <row r="224" spans="2:8" ht="22.5">
      <c r="B224" s="55"/>
      <c r="C224" s="56"/>
      <c r="D224" s="34">
        <v>4440</v>
      </c>
      <c r="E224" s="14" t="s">
        <v>76</v>
      </c>
      <c r="F224" s="28">
        <v>2957</v>
      </c>
      <c r="G224" s="90">
        <v>2500</v>
      </c>
      <c r="H224" s="12">
        <f t="shared" si="12"/>
        <v>0.8454514710855597</v>
      </c>
    </row>
    <row r="225" spans="2:8" ht="12.75">
      <c r="B225" s="55"/>
      <c r="C225" s="56"/>
      <c r="D225" s="34"/>
      <c r="E225" s="14"/>
      <c r="F225" s="28"/>
      <c r="G225" s="90"/>
      <c r="H225" s="12"/>
    </row>
    <row r="226" spans="2:8" ht="12.75">
      <c r="B226" s="67"/>
      <c r="C226" s="68">
        <v>80120</v>
      </c>
      <c r="D226" s="69"/>
      <c r="E226" s="70" t="s">
        <v>77</v>
      </c>
      <c r="F226" s="71">
        <f>SUM(F227:F239)</f>
        <v>414486</v>
      </c>
      <c r="G226" s="93">
        <f>SUM(G227:G239)</f>
        <v>200412.85000000003</v>
      </c>
      <c r="H226" s="72">
        <f aca="true" t="shared" si="13" ref="H226:H239">G226/F226</f>
        <v>0.48352139758640833</v>
      </c>
    </row>
    <row r="227" spans="2:8" ht="22.5" customHeight="1">
      <c r="B227" s="73"/>
      <c r="C227" s="34"/>
      <c r="D227" s="34">
        <v>3020</v>
      </c>
      <c r="E227" s="14" t="s">
        <v>67</v>
      </c>
      <c r="F227" s="28">
        <v>680</v>
      </c>
      <c r="G227" s="90">
        <v>0</v>
      </c>
      <c r="H227" s="12">
        <f t="shared" si="13"/>
        <v>0</v>
      </c>
    </row>
    <row r="228" spans="2:8" ht="22.5">
      <c r="B228" s="73"/>
      <c r="C228" s="34"/>
      <c r="D228" s="34">
        <v>4010</v>
      </c>
      <c r="E228" s="14" t="s">
        <v>36</v>
      </c>
      <c r="F228" s="28">
        <v>270740</v>
      </c>
      <c r="G228" s="90">
        <v>110123</v>
      </c>
      <c r="H228" s="12">
        <f t="shared" si="13"/>
        <v>0.4067481716776243</v>
      </c>
    </row>
    <row r="229" spans="2:8" ht="22.5">
      <c r="B229" s="55"/>
      <c r="C229" s="56"/>
      <c r="D229" s="34">
        <v>4040</v>
      </c>
      <c r="E229" s="14" t="s">
        <v>43</v>
      </c>
      <c r="F229" s="28">
        <v>30030</v>
      </c>
      <c r="G229" s="94">
        <v>30029.2</v>
      </c>
      <c r="H229" s="12">
        <f t="shared" si="13"/>
        <v>0.99997335997336</v>
      </c>
    </row>
    <row r="230" spans="2:8" ht="22.5">
      <c r="B230" s="55"/>
      <c r="C230" s="56"/>
      <c r="D230" s="34">
        <v>4110</v>
      </c>
      <c r="E230" s="14" t="s">
        <v>20</v>
      </c>
      <c r="F230" s="28">
        <v>51438</v>
      </c>
      <c r="G230" s="94">
        <v>24748.23</v>
      </c>
      <c r="H230" s="12">
        <f t="shared" si="13"/>
        <v>0.48112737664761457</v>
      </c>
    </row>
    <row r="231" spans="2:8" ht="12.75">
      <c r="B231" s="55"/>
      <c r="C231" s="56"/>
      <c r="D231" s="34">
        <v>4120</v>
      </c>
      <c r="E231" s="14" t="s">
        <v>24</v>
      </c>
      <c r="F231" s="28">
        <v>6918</v>
      </c>
      <c r="G231" s="94">
        <v>3285.54</v>
      </c>
      <c r="H231" s="12">
        <f t="shared" si="13"/>
        <v>0.47492627927146575</v>
      </c>
    </row>
    <row r="232" spans="2:8" ht="22.5">
      <c r="B232" s="55"/>
      <c r="C232" s="56"/>
      <c r="D232" s="34">
        <v>4170</v>
      </c>
      <c r="E232" s="14" t="s">
        <v>117</v>
      </c>
      <c r="F232" s="28">
        <v>1000</v>
      </c>
      <c r="G232" s="94">
        <v>397.2</v>
      </c>
      <c r="H232" s="12">
        <f t="shared" si="13"/>
        <v>0.3972</v>
      </c>
    </row>
    <row r="233" spans="2:8" ht="22.5">
      <c r="B233" s="55"/>
      <c r="C233" s="56"/>
      <c r="D233" s="34">
        <v>4210</v>
      </c>
      <c r="E233" s="14" t="s">
        <v>23</v>
      </c>
      <c r="F233" s="28">
        <v>11742</v>
      </c>
      <c r="G233" s="94">
        <v>6462.6</v>
      </c>
      <c r="H233" s="12">
        <f t="shared" si="13"/>
        <v>0.5503832396525294</v>
      </c>
    </row>
    <row r="234" spans="2:8" ht="12.75">
      <c r="B234" s="55"/>
      <c r="C234" s="56"/>
      <c r="D234" s="34">
        <v>4270</v>
      </c>
      <c r="E234" s="14" t="s">
        <v>21</v>
      </c>
      <c r="F234" s="28">
        <v>7700</v>
      </c>
      <c r="G234" s="94">
        <v>1300.22</v>
      </c>
      <c r="H234" s="12">
        <f t="shared" si="13"/>
        <v>0.16885974025974027</v>
      </c>
    </row>
    <row r="235" spans="2:8" ht="12.75">
      <c r="B235" s="55"/>
      <c r="C235" s="56"/>
      <c r="D235" s="34">
        <v>4280</v>
      </c>
      <c r="E235" s="14" t="s">
        <v>94</v>
      </c>
      <c r="F235" s="28">
        <v>700</v>
      </c>
      <c r="G235" s="94">
        <v>85</v>
      </c>
      <c r="H235" s="12">
        <f t="shared" si="13"/>
        <v>0.12142857142857143</v>
      </c>
    </row>
    <row r="236" spans="2:8" ht="12.75">
      <c r="B236" s="55"/>
      <c r="C236" s="56"/>
      <c r="D236" s="34">
        <v>4300</v>
      </c>
      <c r="E236" s="14" t="s">
        <v>31</v>
      </c>
      <c r="F236" s="28">
        <v>9130</v>
      </c>
      <c r="G236" s="94">
        <v>7797.62</v>
      </c>
      <c r="H236" s="12">
        <f t="shared" si="13"/>
        <v>0.8540657174151149</v>
      </c>
    </row>
    <row r="237" spans="2:8" ht="22.5">
      <c r="B237" s="55"/>
      <c r="C237" s="56"/>
      <c r="D237" s="34">
        <v>4350</v>
      </c>
      <c r="E237" s="14" t="s">
        <v>131</v>
      </c>
      <c r="F237" s="28">
        <v>4200</v>
      </c>
      <c r="G237" s="94">
        <v>632.21</v>
      </c>
      <c r="H237" s="12">
        <f t="shared" si="13"/>
        <v>0.15052619047619048</v>
      </c>
    </row>
    <row r="238" spans="2:8" ht="12.75">
      <c r="B238" s="55"/>
      <c r="C238" s="56"/>
      <c r="D238" s="34">
        <v>4410</v>
      </c>
      <c r="E238" s="14" t="s">
        <v>39</v>
      </c>
      <c r="F238" s="28">
        <v>1500</v>
      </c>
      <c r="G238" s="94">
        <v>1052.03</v>
      </c>
      <c r="H238" s="12">
        <f t="shared" si="13"/>
        <v>0.7013533333333333</v>
      </c>
    </row>
    <row r="239" spans="2:8" ht="33.75">
      <c r="B239" s="55"/>
      <c r="C239" s="56"/>
      <c r="D239" s="34">
        <v>4440</v>
      </c>
      <c r="E239" s="14" t="s">
        <v>45</v>
      </c>
      <c r="F239" s="28">
        <v>18708</v>
      </c>
      <c r="G239" s="94">
        <v>14500</v>
      </c>
      <c r="H239" s="12">
        <f t="shared" si="13"/>
        <v>0.7750694889886679</v>
      </c>
    </row>
    <row r="240" spans="2:8" ht="12.75">
      <c r="B240" s="55"/>
      <c r="C240" s="56"/>
      <c r="D240" s="34"/>
      <c r="E240" s="14"/>
      <c r="F240" s="28"/>
      <c r="G240" s="94"/>
      <c r="H240" s="12"/>
    </row>
    <row r="241" spans="2:8" ht="22.5">
      <c r="B241" s="55"/>
      <c r="C241" s="56">
        <v>80146</v>
      </c>
      <c r="D241" s="34"/>
      <c r="E241" s="14" t="s">
        <v>120</v>
      </c>
      <c r="F241" s="28">
        <f>SUM(F242)</f>
        <v>21350</v>
      </c>
      <c r="G241" s="94">
        <f>SUM(G242)</f>
        <v>8905</v>
      </c>
      <c r="H241" s="12">
        <f>G241/F241</f>
        <v>0.417096018735363</v>
      </c>
    </row>
    <row r="242" spans="2:8" ht="12.75">
      <c r="B242" s="55"/>
      <c r="C242" s="56"/>
      <c r="D242" s="34">
        <v>4300</v>
      </c>
      <c r="E242" s="14" t="s">
        <v>31</v>
      </c>
      <c r="F242" s="28">
        <v>21350</v>
      </c>
      <c r="G242" s="94">
        <v>8905</v>
      </c>
      <c r="H242" s="12">
        <f>G242/F242</f>
        <v>0.417096018735363</v>
      </c>
    </row>
    <row r="243" spans="2:8" ht="12.75">
      <c r="B243" s="55"/>
      <c r="C243" s="56"/>
      <c r="D243" s="34"/>
      <c r="E243" s="14"/>
      <c r="F243" s="28"/>
      <c r="G243" s="90"/>
      <c r="H243" s="12"/>
    </row>
    <row r="244" spans="2:8" ht="12.75">
      <c r="B244" s="55"/>
      <c r="C244" s="56">
        <v>80195</v>
      </c>
      <c r="D244" s="34"/>
      <c r="E244" s="14" t="s">
        <v>78</v>
      </c>
      <c r="F244" s="28">
        <f>SUM(F245:F248)</f>
        <v>650070</v>
      </c>
      <c r="G244" s="90">
        <f>SUM(G245:G248)</f>
        <v>14640</v>
      </c>
      <c r="H244" s="12">
        <f>G244/F244</f>
        <v>0.022520651622133</v>
      </c>
    </row>
    <row r="245" spans="2:9" ht="22.5">
      <c r="B245" s="55"/>
      <c r="C245" s="56"/>
      <c r="D245" s="34">
        <v>4010</v>
      </c>
      <c r="E245" s="14" t="s">
        <v>36</v>
      </c>
      <c r="F245" s="28">
        <v>4210</v>
      </c>
      <c r="G245" s="90">
        <v>0</v>
      </c>
      <c r="H245" s="12">
        <f>G245/F245</f>
        <v>0</v>
      </c>
      <c r="I245" s="20"/>
    </row>
    <row r="246" spans="2:9" ht="22.5">
      <c r="B246" s="55"/>
      <c r="C246" s="56"/>
      <c r="D246" s="34">
        <v>4110</v>
      </c>
      <c r="E246" s="14" t="s">
        <v>20</v>
      </c>
      <c r="F246" s="28">
        <v>757</v>
      </c>
      <c r="G246" s="90">
        <v>0</v>
      </c>
      <c r="H246" s="12">
        <f>G246/F246</f>
        <v>0</v>
      </c>
      <c r="I246" s="32"/>
    </row>
    <row r="247" spans="2:8" ht="12.75">
      <c r="B247" s="55"/>
      <c r="C247" s="56"/>
      <c r="D247" s="34">
        <v>4120</v>
      </c>
      <c r="E247" s="14" t="s">
        <v>24</v>
      </c>
      <c r="F247" s="28">
        <v>103</v>
      </c>
      <c r="G247" s="90">
        <v>0</v>
      </c>
      <c r="H247" s="12">
        <f>G247/F247</f>
        <v>0</v>
      </c>
    </row>
    <row r="248" spans="2:8" ht="22.5">
      <c r="B248" s="55"/>
      <c r="C248" s="56"/>
      <c r="D248" s="34">
        <v>6050</v>
      </c>
      <c r="E248" s="14" t="s">
        <v>25</v>
      </c>
      <c r="F248" s="28">
        <v>645000</v>
      </c>
      <c r="G248" s="90">
        <v>14640</v>
      </c>
      <c r="H248" s="12">
        <f>G248/F248</f>
        <v>0.022697674418604652</v>
      </c>
    </row>
    <row r="249" spans="2:8" ht="12.75">
      <c r="B249" s="55"/>
      <c r="C249" s="56"/>
      <c r="D249" s="34"/>
      <c r="E249" s="14"/>
      <c r="F249" s="28"/>
      <c r="G249" s="90"/>
      <c r="H249" s="12"/>
    </row>
    <row r="250" spans="2:8" ht="12.75">
      <c r="B250" s="50">
        <v>851</v>
      </c>
      <c r="C250" s="57"/>
      <c r="D250" s="58"/>
      <c r="E250" s="53" t="s">
        <v>79</v>
      </c>
      <c r="F250" s="59">
        <f>F252+F258</f>
        <v>121572</v>
      </c>
      <c r="G250" s="89">
        <f>G252+G258</f>
        <v>43635.08000000001</v>
      </c>
      <c r="H250" s="54">
        <f>G250/F250</f>
        <v>0.3589237653407035</v>
      </c>
    </row>
    <row r="251" spans="2:8" ht="12.75">
      <c r="B251" s="50"/>
      <c r="C251" s="57"/>
      <c r="D251" s="58"/>
      <c r="E251" s="53"/>
      <c r="F251" s="59"/>
      <c r="G251" s="89"/>
      <c r="H251" s="54"/>
    </row>
    <row r="252" spans="2:8" ht="12.75">
      <c r="B252" s="55"/>
      <c r="C252" s="56">
        <v>85121</v>
      </c>
      <c r="D252" s="34"/>
      <c r="E252" s="14" t="s">
        <v>80</v>
      </c>
      <c r="F252" s="28">
        <f>SUM(F253:F256)</f>
        <v>34002</v>
      </c>
      <c r="G252" s="91">
        <f>SUM(G253:G256)</f>
        <v>2965.55</v>
      </c>
      <c r="H252" s="12">
        <f>G252/F252</f>
        <v>0.08721692841597553</v>
      </c>
    </row>
    <row r="253" spans="2:8" ht="22.5">
      <c r="B253" s="55"/>
      <c r="C253" s="56"/>
      <c r="D253" s="34">
        <v>4170</v>
      </c>
      <c r="E253" s="14" t="s">
        <v>117</v>
      </c>
      <c r="F253" s="28">
        <v>3350</v>
      </c>
      <c r="G253" s="90">
        <v>1410.55</v>
      </c>
      <c r="H253" s="12">
        <f>G253/F253</f>
        <v>0.4210597014925373</v>
      </c>
    </row>
    <row r="254" spans="2:8" ht="22.5">
      <c r="B254" s="55"/>
      <c r="C254" s="56"/>
      <c r="D254" s="34">
        <v>4210</v>
      </c>
      <c r="E254" s="14" t="s">
        <v>23</v>
      </c>
      <c r="F254" s="28">
        <v>14142</v>
      </c>
      <c r="G254" s="90">
        <v>91</v>
      </c>
      <c r="H254" s="12">
        <f>G254/F254</f>
        <v>0.0064347334181869605</v>
      </c>
    </row>
    <row r="255" spans="2:8" ht="12.75">
      <c r="B255" s="55"/>
      <c r="C255" s="56"/>
      <c r="D255" s="34">
        <v>4270</v>
      </c>
      <c r="E255" s="14" t="s">
        <v>21</v>
      </c>
      <c r="F255" s="28">
        <v>15000</v>
      </c>
      <c r="G255" s="90">
        <v>1464</v>
      </c>
      <c r="H255" s="12">
        <f>G255/F255</f>
        <v>0.0976</v>
      </c>
    </row>
    <row r="256" spans="2:8" ht="12.75">
      <c r="B256" s="55"/>
      <c r="C256" s="56"/>
      <c r="D256" s="34">
        <v>4300</v>
      </c>
      <c r="E256" s="14" t="s">
        <v>31</v>
      </c>
      <c r="F256" s="28">
        <v>1510</v>
      </c>
      <c r="G256" s="90">
        <v>0</v>
      </c>
      <c r="H256" s="12">
        <f>G256/F256</f>
        <v>0</v>
      </c>
    </row>
    <row r="257" spans="2:8" ht="12.75">
      <c r="B257" s="55"/>
      <c r="C257" s="56"/>
      <c r="D257" s="34"/>
      <c r="E257" s="14"/>
      <c r="F257" s="28"/>
      <c r="G257" s="90"/>
      <c r="H257" s="12"/>
    </row>
    <row r="258" spans="2:8" ht="22.5">
      <c r="B258" s="55"/>
      <c r="C258" s="56">
        <v>85154</v>
      </c>
      <c r="D258" s="34"/>
      <c r="E258" s="70" t="s">
        <v>81</v>
      </c>
      <c r="F258" s="71">
        <f>SUM(F259:F273)</f>
        <v>87570</v>
      </c>
      <c r="G258" s="93">
        <f>SUM(G259:G273)</f>
        <v>40669.530000000006</v>
      </c>
      <c r="H258" s="72">
        <f aca="true" t="shared" si="14" ref="H258:H269">G258/F258</f>
        <v>0.4644230900993492</v>
      </c>
    </row>
    <row r="259" spans="2:8" ht="22.5" customHeight="1">
      <c r="B259" s="55"/>
      <c r="C259" s="56"/>
      <c r="D259" s="74">
        <v>3020</v>
      </c>
      <c r="E259" s="14" t="s">
        <v>67</v>
      </c>
      <c r="F259" s="28">
        <v>249</v>
      </c>
      <c r="G259" s="90">
        <v>124.54</v>
      </c>
      <c r="H259" s="12">
        <f t="shared" si="14"/>
        <v>0.5001606425702811</v>
      </c>
    </row>
    <row r="260" spans="2:8" ht="22.5">
      <c r="B260" s="55"/>
      <c r="C260" s="56"/>
      <c r="D260" s="34">
        <v>3030</v>
      </c>
      <c r="E260" s="75" t="s">
        <v>22</v>
      </c>
      <c r="F260" s="29">
        <v>2500</v>
      </c>
      <c r="G260" s="94">
        <v>690</v>
      </c>
      <c r="H260" s="76">
        <f t="shared" si="14"/>
        <v>0.276</v>
      </c>
    </row>
    <row r="261" spans="2:8" ht="12.75">
      <c r="B261" s="55"/>
      <c r="C261" s="56"/>
      <c r="D261" s="34">
        <v>3110</v>
      </c>
      <c r="E261" s="75" t="s">
        <v>88</v>
      </c>
      <c r="F261" s="29">
        <f>3500+4000</f>
        <v>7500</v>
      </c>
      <c r="G261" s="94">
        <v>3500</v>
      </c>
      <c r="H261" s="76">
        <f t="shared" si="14"/>
        <v>0.4666666666666667</v>
      </c>
    </row>
    <row r="262" spans="2:8" ht="22.5">
      <c r="B262" s="55"/>
      <c r="C262" s="56"/>
      <c r="D262" s="34">
        <v>4010</v>
      </c>
      <c r="E262" s="14" t="s">
        <v>36</v>
      </c>
      <c r="F262" s="28">
        <v>22181</v>
      </c>
      <c r="G262" s="94">
        <v>9726.95</v>
      </c>
      <c r="H262" s="12">
        <f t="shared" si="14"/>
        <v>0.4385262161309229</v>
      </c>
    </row>
    <row r="263" spans="2:8" ht="22.5">
      <c r="B263" s="55"/>
      <c r="C263" s="56"/>
      <c r="D263" s="34">
        <v>4040</v>
      </c>
      <c r="E263" s="14" t="s">
        <v>43</v>
      </c>
      <c r="F263" s="28">
        <v>2052</v>
      </c>
      <c r="G263" s="94">
        <v>2044.48</v>
      </c>
      <c r="H263" s="12">
        <f t="shared" si="14"/>
        <v>0.9963352826510722</v>
      </c>
    </row>
    <row r="264" spans="2:8" ht="22.5">
      <c r="B264" s="55"/>
      <c r="C264" s="56"/>
      <c r="D264" s="34">
        <v>4110</v>
      </c>
      <c r="E264" s="14" t="s">
        <v>20</v>
      </c>
      <c r="F264" s="28">
        <v>4293</v>
      </c>
      <c r="G264" s="94">
        <v>1648.37</v>
      </c>
      <c r="H264" s="12">
        <f t="shared" si="14"/>
        <v>0.3839669228977405</v>
      </c>
    </row>
    <row r="265" spans="2:8" ht="12.75">
      <c r="B265" s="55"/>
      <c r="C265" s="56"/>
      <c r="D265" s="34">
        <v>4120</v>
      </c>
      <c r="E265" s="14" t="s">
        <v>24</v>
      </c>
      <c r="F265" s="28">
        <v>593</v>
      </c>
      <c r="G265" s="94">
        <v>227.79</v>
      </c>
      <c r="H265" s="12">
        <f t="shared" si="14"/>
        <v>0.3841315345699831</v>
      </c>
    </row>
    <row r="266" spans="2:8" ht="22.5">
      <c r="B266" s="55"/>
      <c r="C266" s="56"/>
      <c r="D266" s="34">
        <v>4170</v>
      </c>
      <c r="E266" s="14" t="s">
        <v>117</v>
      </c>
      <c r="F266" s="28">
        <v>19000</v>
      </c>
      <c r="G266" s="94">
        <v>7736.2</v>
      </c>
      <c r="H266" s="12">
        <f t="shared" si="14"/>
        <v>0.40716842105263157</v>
      </c>
    </row>
    <row r="267" spans="2:8" ht="22.5">
      <c r="B267" s="55"/>
      <c r="C267" s="56"/>
      <c r="D267" s="34">
        <v>4210</v>
      </c>
      <c r="E267" s="14" t="s">
        <v>23</v>
      </c>
      <c r="F267" s="28">
        <v>9273</v>
      </c>
      <c r="G267" s="94">
        <v>6896.79</v>
      </c>
      <c r="H267" s="12">
        <f t="shared" si="14"/>
        <v>0.7437495956001294</v>
      </c>
    </row>
    <row r="268" spans="2:8" ht="12.75">
      <c r="B268" s="55"/>
      <c r="C268" s="56"/>
      <c r="D268" s="34">
        <v>4220</v>
      </c>
      <c r="E268" s="14" t="s">
        <v>82</v>
      </c>
      <c r="F268" s="28">
        <v>6000</v>
      </c>
      <c r="G268" s="94">
        <v>2356.52</v>
      </c>
      <c r="H268" s="12">
        <f t="shared" si="14"/>
        <v>0.39275333333333334</v>
      </c>
    </row>
    <row r="269" spans="2:8" ht="12.75">
      <c r="B269" s="55"/>
      <c r="C269" s="56"/>
      <c r="D269" s="34">
        <v>4300</v>
      </c>
      <c r="E269" s="14" t="s">
        <v>31</v>
      </c>
      <c r="F269" s="28">
        <f>15489-4000</f>
        <v>11489</v>
      </c>
      <c r="G269" s="94">
        <v>4796.94</v>
      </c>
      <c r="H269" s="12">
        <f t="shared" si="14"/>
        <v>0.4175245887370528</v>
      </c>
    </row>
    <row r="270" spans="2:8" ht="22.5">
      <c r="B270" s="55"/>
      <c r="C270" s="56"/>
      <c r="D270" s="34">
        <v>4350</v>
      </c>
      <c r="E270" s="14" t="s">
        <v>131</v>
      </c>
      <c r="F270" s="28">
        <v>288</v>
      </c>
      <c r="G270" s="94">
        <v>71.98</v>
      </c>
      <c r="H270" s="12"/>
    </row>
    <row r="271" spans="2:8" ht="12.75">
      <c r="B271" s="55"/>
      <c r="C271" s="56"/>
      <c r="D271" s="34">
        <v>4410</v>
      </c>
      <c r="E271" s="14" t="s">
        <v>39</v>
      </c>
      <c r="F271" s="28">
        <v>1000</v>
      </c>
      <c r="G271" s="94">
        <v>191.67</v>
      </c>
      <c r="H271" s="12">
        <f>G271/F271</f>
        <v>0.19166999999999998</v>
      </c>
    </row>
    <row r="272" spans="2:8" ht="33.75">
      <c r="B272" s="55"/>
      <c r="C272" s="56"/>
      <c r="D272" s="34">
        <v>4440</v>
      </c>
      <c r="E272" s="14" t="s">
        <v>45</v>
      </c>
      <c r="F272" s="28">
        <v>696</v>
      </c>
      <c r="G272" s="94">
        <v>549.94</v>
      </c>
      <c r="H272" s="12">
        <f>G272/F272</f>
        <v>0.7901436781609196</v>
      </c>
    </row>
    <row r="273" spans="2:8" ht="12.75">
      <c r="B273" s="55"/>
      <c r="C273" s="56"/>
      <c r="D273" s="34">
        <v>4270</v>
      </c>
      <c r="E273" s="14" t="s">
        <v>21</v>
      </c>
      <c r="F273" s="28">
        <v>456</v>
      </c>
      <c r="G273" s="94">
        <v>107.36</v>
      </c>
      <c r="H273" s="12">
        <f>G273/F273</f>
        <v>0.23543859649122806</v>
      </c>
    </row>
    <row r="274" spans="2:8" ht="12.75">
      <c r="B274" s="55"/>
      <c r="C274" s="56"/>
      <c r="D274" s="34"/>
      <c r="E274" s="14"/>
      <c r="F274" s="28"/>
      <c r="G274" s="90"/>
      <c r="H274" s="12"/>
    </row>
    <row r="275" spans="2:9" ht="12.75">
      <c r="B275" s="50">
        <v>852</v>
      </c>
      <c r="C275" s="57"/>
      <c r="D275" s="58"/>
      <c r="E275" s="53" t="s">
        <v>83</v>
      </c>
      <c r="F275" s="59">
        <f>SUM(F277++++F288+F292+F298+F301+F316+F323)</f>
        <v>1985660</v>
      </c>
      <c r="G275" s="89">
        <f>G277+G288+G292+G298+G301+G316+G323</f>
        <v>1037926.08</v>
      </c>
      <c r="H275" s="54">
        <f>G275/F275</f>
        <v>0.522710876988004</v>
      </c>
      <c r="I275" s="1"/>
    </row>
    <row r="276" spans="2:8" ht="12.75">
      <c r="B276" s="50"/>
      <c r="C276" s="57"/>
      <c r="D276" s="58"/>
      <c r="E276" s="53"/>
      <c r="F276" s="59"/>
      <c r="G276" s="89"/>
      <c r="H276" s="12"/>
    </row>
    <row r="277" spans="2:9" ht="45">
      <c r="B277" s="50"/>
      <c r="C277" s="56">
        <v>85212</v>
      </c>
      <c r="D277" s="34"/>
      <c r="E277" s="14" t="s">
        <v>84</v>
      </c>
      <c r="F277" s="28">
        <f>SUM(F278:F286)</f>
        <v>816421</v>
      </c>
      <c r="G277" s="90">
        <f>SUM(G278:G286)</f>
        <v>429112.97</v>
      </c>
      <c r="H277" s="12">
        <f aca="true" t="shared" si="15" ref="H277:H286">G277/F277</f>
        <v>0.5256025628934091</v>
      </c>
      <c r="I277" s="1"/>
    </row>
    <row r="278" spans="2:8" ht="12.75">
      <c r="B278" s="50"/>
      <c r="C278" s="56"/>
      <c r="D278" s="34">
        <v>3110</v>
      </c>
      <c r="E278" s="14" t="s">
        <v>88</v>
      </c>
      <c r="F278" s="28">
        <f>756400-8278</f>
        <v>748122</v>
      </c>
      <c r="G278" s="90">
        <v>392542.07</v>
      </c>
      <c r="H278" s="12">
        <f t="shared" si="15"/>
        <v>0.524703283689024</v>
      </c>
    </row>
    <row r="279" spans="2:8" ht="22.5">
      <c r="B279" s="50"/>
      <c r="C279" s="56"/>
      <c r="D279" s="34">
        <v>4010</v>
      </c>
      <c r="E279" s="14" t="s">
        <v>36</v>
      </c>
      <c r="F279" s="28">
        <f>9500+4000</f>
        <v>13500</v>
      </c>
      <c r="G279" s="90">
        <v>4138.53</v>
      </c>
      <c r="H279" s="12">
        <f t="shared" si="15"/>
        <v>0.30655777777777776</v>
      </c>
    </row>
    <row r="280" spans="2:8" ht="22.5">
      <c r="B280" s="50"/>
      <c r="C280" s="56"/>
      <c r="D280" s="34">
        <v>4110</v>
      </c>
      <c r="E280" s="14" t="s">
        <v>20</v>
      </c>
      <c r="F280" s="28">
        <f>26094+640</f>
        <v>26734</v>
      </c>
      <c r="G280" s="90">
        <v>9436.86</v>
      </c>
      <c r="H280" s="12">
        <f t="shared" si="15"/>
        <v>0.35299094785666196</v>
      </c>
    </row>
    <row r="281" spans="2:8" ht="12.75">
      <c r="B281" s="50"/>
      <c r="C281" s="56"/>
      <c r="D281" s="34">
        <v>4120</v>
      </c>
      <c r="E281" s="14" t="s">
        <v>24</v>
      </c>
      <c r="F281" s="28">
        <f>242+78</f>
        <v>320</v>
      </c>
      <c r="G281" s="90">
        <v>74.93</v>
      </c>
      <c r="H281" s="12">
        <f t="shared" si="15"/>
        <v>0.23415625</v>
      </c>
    </row>
    <row r="282" spans="2:8" ht="22.5">
      <c r="B282" s="50"/>
      <c r="C282" s="56"/>
      <c r="D282" s="34">
        <v>4210</v>
      </c>
      <c r="E282" s="14" t="s">
        <v>23</v>
      </c>
      <c r="F282" s="28">
        <f>2000+1973</f>
        <v>3973</v>
      </c>
      <c r="G282" s="90">
        <v>1646.17</v>
      </c>
      <c r="H282" s="12">
        <f t="shared" si="15"/>
        <v>0.41433929020891014</v>
      </c>
    </row>
    <row r="283" spans="2:8" ht="56.25">
      <c r="B283" s="50"/>
      <c r="C283" s="56"/>
      <c r="D283" s="34">
        <v>2910</v>
      </c>
      <c r="E283" s="14" t="s">
        <v>116</v>
      </c>
      <c r="F283" s="28">
        <v>19972</v>
      </c>
      <c r="G283" s="90">
        <v>19971.65</v>
      </c>
      <c r="H283" s="12">
        <f t="shared" si="15"/>
        <v>0.999982475465652</v>
      </c>
    </row>
    <row r="284" spans="2:8" ht="12.75">
      <c r="B284" s="50"/>
      <c r="C284" s="56"/>
      <c r="D284" s="34">
        <v>4300</v>
      </c>
      <c r="E284" s="14" t="s">
        <v>31</v>
      </c>
      <c r="F284" s="28">
        <f>2013+787</f>
        <v>2800</v>
      </c>
      <c r="G284" s="90">
        <v>1157.16</v>
      </c>
      <c r="H284" s="12">
        <f t="shared" si="15"/>
        <v>0.4132714285714286</v>
      </c>
    </row>
    <row r="285" spans="2:8" ht="33.75">
      <c r="B285" s="50"/>
      <c r="C285" s="56"/>
      <c r="D285" s="34">
        <v>4440</v>
      </c>
      <c r="E285" s="14" t="s">
        <v>45</v>
      </c>
      <c r="F285" s="28">
        <v>500</v>
      </c>
      <c r="G285" s="90">
        <v>0</v>
      </c>
      <c r="H285" s="12">
        <f t="shared" si="15"/>
        <v>0</v>
      </c>
    </row>
    <row r="286" spans="2:8" ht="12.75">
      <c r="B286" s="50"/>
      <c r="C286" s="56"/>
      <c r="D286" s="34">
        <v>4410</v>
      </c>
      <c r="E286" s="14" t="s">
        <v>114</v>
      </c>
      <c r="F286" s="28">
        <f>200+300</f>
        <v>500</v>
      </c>
      <c r="G286" s="90">
        <v>145.6</v>
      </c>
      <c r="H286" s="12">
        <f t="shared" si="15"/>
        <v>0.2912</v>
      </c>
    </row>
    <row r="287" spans="2:8" ht="12.75">
      <c r="B287" s="50"/>
      <c r="C287" s="57"/>
      <c r="D287" s="34"/>
      <c r="E287" s="14"/>
      <c r="F287" s="28"/>
      <c r="G287" s="90"/>
      <c r="H287" s="12"/>
    </row>
    <row r="288" spans="2:8" ht="67.5">
      <c r="B288" s="55"/>
      <c r="C288" s="56">
        <v>85213</v>
      </c>
      <c r="D288" s="34"/>
      <c r="E288" s="14" t="s">
        <v>85</v>
      </c>
      <c r="F288" s="28">
        <f>SUM(F289:F290)</f>
        <v>10447</v>
      </c>
      <c r="G288" s="90">
        <f>SUM(G289:G290)</f>
        <v>4438.09</v>
      </c>
      <c r="H288" s="12">
        <f>G288/F288</f>
        <v>0.424819565425481</v>
      </c>
    </row>
    <row r="289" spans="2:8" ht="56.25">
      <c r="B289" s="55"/>
      <c r="C289" s="56"/>
      <c r="D289" s="34">
        <v>2910</v>
      </c>
      <c r="E289" s="14" t="s">
        <v>126</v>
      </c>
      <c r="F289" s="28">
        <v>214</v>
      </c>
      <c r="G289" s="90">
        <v>214</v>
      </c>
      <c r="H289" s="12">
        <f>G289/F289</f>
        <v>1</v>
      </c>
    </row>
    <row r="290" spans="2:8" ht="22.5">
      <c r="B290" s="50"/>
      <c r="C290" s="57"/>
      <c r="D290" s="34">
        <v>4130</v>
      </c>
      <c r="E290" s="14" t="s">
        <v>86</v>
      </c>
      <c r="F290" s="28">
        <v>10233</v>
      </c>
      <c r="G290" s="90">
        <v>4224.09</v>
      </c>
      <c r="H290" s="12">
        <f>G290/F290</f>
        <v>0.41279097038991497</v>
      </c>
    </row>
    <row r="291" spans="2:8" ht="12.75">
      <c r="B291" s="50"/>
      <c r="C291" s="57"/>
      <c r="D291" s="34"/>
      <c r="E291" s="14"/>
      <c r="F291" s="28"/>
      <c r="G291" s="90"/>
      <c r="H291" s="12"/>
    </row>
    <row r="292" spans="2:9" ht="33.75">
      <c r="B292" s="55"/>
      <c r="C292" s="56">
        <v>85214</v>
      </c>
      <c r="D292" s="34"/>
      <c r="E292" s="14" t="s">
        <v>87</v>
      </c>
      <c r="F292" s="28">
        <f>SUM(F293:F296)</f>
        <v>396075</v>
      </c>
      <c r="G292" s="90">
        <f>SUM(G293:G296)</f>
        <v>218123</v>
      </c>
      <c r="H292" s="12">
        <f>G292/F292</f>
        <v>0.5507113551726315</v>
      </c>
      <c r="I292" s="1"/>
    </row>
    <row r="293" spans="2:8" ht="56.25">
      <c r="B293" s="55"/>
      <c r="C293" s="56"/>
      <c r="D293" s="34">
        <v>2910</v>
      </c>
      <c r="E293" s="14" t="s">
        <v>116</v>
      </c>
      <c r="F293" s="28">
        <v>53755</v>
      </c>
      <c r="G293" s="90">
        <v>53746</v>
      </c>
      <c r="H293" s="12">
        <f>G293/F293</f>
        <v>0.9998325737140731</v>
      </c>
    </row>
    <row r="294" spans="2:8" ht="12.75">
      <c r="B294" s="55"/>
      <c r="C294" s="56"/>
      <c r="D294" s="34">
        <v>3110</v>
      </c>
      <c r="E294" s="14" t="s">
        <v>88</v>
      </c>
      <c r="F294" s="28">
        <v>324670</v>
      </c>
      <c r="G294" s="90">
        <v>155687</v>
      </c>
      <c r="H294" s="12">
        <f>G294/F294</f>
        <v>0.4795238241907167</v>
      </c>
    </row>
    <row r="295" spans="2:8" ht="45">
      <c r="B295" s="55"/>
      <c r="C295" s="56"/>
      <c r="D295" s="34">
        <v>4330</v>
      </c>
      <c r="E295" s="14" t="s">
        <v>132</v>
      </c>
      <c r="F295" s="28">
        <v>15600</v>
      </c>
      <c r="G295" s="90">
        <v>6644</v>
      </c>
      <c r="H295" s="12">
        <f>G295/F295</f>
        <v>0.4258974358974359</v>
      </c>
    </row>
    <row r="296" spans="2:8" ht="56.25">
      <c r="B296" s="55"/>
      <c r="C296" s="56"/>
      <c r="D296" s="34">
        <v>4560</v>
      </c>
      <c r="E296" s="14" t="s">
        <v>133</v>
      </c>
      <c r="F296" s="28">
        <f>2010+40</f>
        <v>2050</v>
      </c>
      <c r="G296" s="90">
        <v>2046</v>
      </c>
      <c r="H296" s="12">
        <f>G296/F296</f>
        <v>0.9980487804878049</v>
      </c>
    </row>
    <row r="297" spans="2:8" ht="12.75">
      <c r="B297" s="55"/>
      <c r="C297" s="56"/>
      <c r="D297" s="34"/>
      <c r="E297" s="14"/>
      <c r="F297" s="28"/>
      <c r="G297" s="90"/>
      <c r="H297" s="12"/>
    </row>
    <row r="298" spans="2:8" ht="12.75">
      <c r="B298" s="55"/>
      <c r="C298" s="56">
        <v>85215</v>
      </c>
      <c r="D298" s="34"/>
      <c r="E298" s="14" t="s">
        <v>89</v>
      </c>
      <c r="F298" s="28">
        <f>SUM(F299)</f>
        <v>186060</v>
      </c>
      <c r="G298" s="90">
        <f>SUM(G299)</f>
        <v>94332.93</v>
      </c>
      <c r="H298" s="12">
        <f>G298/F298</f>
        <v>0.5070027410512737</v>
      </c>
    </row>
    <row r="299" spans="2:9" ht="12.75">
      <c r="B299" s="55"/>
      <c r="C299" s="56"/>
      <c r="D299" s="34">
        <v>3110</v>
      </c>
      <c r="E299" s="14" t="s">
        <v>88</v>
      </c>
      <c r="F299" s="28">
        <v>186060</v>
      </c>
      <c r="G299" s="90">
        <v>94332.93</v>
      </c>
      <c r="H299" s="12">
        <f>G299/F299</f>
        <v>0.5070027410512737</v>
      </c>
      <c r="I299" s="1"/>
    </row>
    <row r="300" spans="2:8" ht="12.75">
      <c r="B300" s="55"/>
      <c r="C300" s="56"/>
      <c r="D300" s="34"/>
      <c r="E300" s="14"/>
      <c r="F300" s="28"/>
      <c r="G300" s="90"/>
      <c r="H300" s="12"/>
    </row>
    <row r="301" spans="2:8" ht="12.75">
      <c r="B301" s="55"/>
      <c r="C301" s="56">
        <v>85219</v>
      </c>
      <c r="D301" s="34"/>
      <c r="E301" s="14" t="s">
        <v>90</v>
      </c>
      <c r="F301" s="28">
        <f>SUM(F302:F314)</f>
        <v>438386</v>
      </c>
      <c r="G301" s="90">
        <f>SUM(G302:G314)</f>
        <v>242899.98999999996</v>
      </c>
      <c r="H301" s="12">
        <f aca="true" t="shared" si="16" ref="H301:H314">G301/F301</f>
        <v>0.554077890261094</v>
      </c>
    </row>
    <row r="302" spans="2:8" ht="33.75">
      <c r="B302" s="55"/>
      <c r="C302" s="56"/>
      <c r="D302" s="34">
        <v>3020</v>
      </c>
      <c r="E302" s="14" t="s">
        <v>42</v>
      </c>
      <c r="F302" s="28">
        <v>4000</v>
      </c>
      <c r="G302" s="90">
        <v>1120</v>
      </c>
      <c r="H302" s="12">
        <f t="shared" si="16"/>
        <v>0.28</v>
      </c>
    </row>
    <row r="303" spans="2:10" ht="22.5">
      <c r="B303" s="55"/>
      <c r="C303" s="56"/>
      <c r="D303" s="34">
        <v>4010</v>
      </c>
      <c r="E303" s="14" t="s">
        <v>36</v>
      </c>
      <c r="F303" s="28">
        <v>310881</v>
      </c>
      <c r="G303" s="90">
        <v>161573.03</v>
      </c>
      <c r="H303" s="12">
        <f t="shared" si="16"/>
        <v>0.5197262939838716</v>
      </c>
      <c r="J303" s="1"/>
    </row>
    <row r="304" spans="2:8" ht="22.5">
      <c r="B304" s="55"/>
      <c r="C304" s="56"/>
      <c r="D304" s="34">
        <v>4040</v>
      </c>
      <c r="E304" s="14" t="s">
        <v>91</v>
      </c>
      <c r="F304" s="28">
        <v>25205</v>
      </c>
      <c r="G304" s="90">
        <v>25204.08</v>
      </c>
      <c r="H304" s="12">
        <f t="shared" si="16"/>
        <v>0.9999634993056934</v>
      </c>
    </row>
    <row r="305" spans="2:8" ht="22.5">
      <c r="B305" s="55"/>
      <c r="C305" s="56"/>
      <c r="D305" s="34">
        <v>4110</v>
      </c>
      <c r="E305" s="14" t="s">
        <v>92</v>
      </c>
      <c r="F305" s="28">
        <v>56200</v>
      </c>
      <c r="G305" s="90">
        <v>26583.43</v>
      </c>
      <c r="H305" s="12">
        <f t="shared" si="16"/>
        <v>0.473014768683274</v>
      </c>
    </row>
    <row r="306" spans="2:8" ht="12.75">
      <c r="B306" s="55"/>
      <c r="C306" s="56"/>
      <c r="D306" s="34">
        <v>4120</v>
      </c>
      <c r="E306" s="14" t="s">
        <v>24</v>
      </c>
      <c r="F306" s="28">
        <v>8100</v>
      </c>
      <c r="G306" s="90">
        <v>3729.03</v>
      </c>
      <c r="H306" s="12">
        <f t="shared" si="16"/>
        <v>0.4603740740740741</v>
      </c>
    </row>
    <row r="307" spans="2:8" ht="22.5">
      <c r="B307" s="55"/>
      <c r="C307" s="56"/>
      <c r="D307" s="34">
        <v>4210</v>
      </c>
      <c r="E307" s="14" t="s">
        <v>23</v>
      </c>
      <c r="F307" s="28">
        <v>7400</v>
      </c>
      <c r="G307" s="90">
        <v>5839.42</v>
      </c>
      <c r="H307" s="12">
        <f t="shared" si="16"/>
        <v>0.7891108108108108</v>
      </c>
    </row>
    <row r="308" spans="2:8" ht="12.75">
      <c r="B308" s="55"/>
      <c r="C308" s="56"/>
      <c r="D308" s="34">
        <v>4260</v>
      </c>
      <c r="E308" s="14" t="s">
        <v>69</v>
      </c>
      <c r="F308" s="28">
        <v>3000</v>
      </c>
      <c r="G308" s="90">
        <v>2604.4</v>
      </c>
      <c r="H308" s="12">
        <f t="shared" si="16"/>
        <v>0.8681333333333333</v>
      </c>
    </row>
    <row r="309" spans="2:8" ht="12.75">
      <c r="B309" s="55"/>
      <c r="C309" s="56"/>
      <c r="D309" s="34">
        <v>4270</v>
      </c>
      <c r="E309" s="14" t="s">
        <v>21</v>
      </c>
      <c r="F309" s="28">
        <v>800</v>
      </c>
      <c r="G309" s="90">
        <v>239.12</v>
      </c>
      <c r="H309" s="12">
        <f t="shared" si="16"/>
        <v>0.2989</v>
      </c>
    </row>
    <row r="310" spans="2:8" ht="12.75">
      <c r="B310" s="55"/>
      <c r="C310" s="56"/>
      <c r="D310" s="34">
        <v>4300</v>
      </c>
      <c r="E310" s="14" t="s">
        <v>31</v>
      </c>
      <c r="F310" s="28">
        <f>12048-50</f>
        <v>11998</v>
      </c>
      <c r="G310" s="90">
        <v>7671.97</v>
      </c>
      <c r="H310" s="12">
        <f t="shared" si="16"/>
        <v>0.6394374062343724</v>
      </c>
    </row>
    <row r="311" spans="2:8" ht="22.5">
      <c r="B311" s="55"/>
      <c r="C311" s="56"/>
      <c r="D311" s="34">
        <v>4350</v>
      </c>
      <c r="E311" s="14" t="s">
        <v>131</v>
      </c>
      <c r="F311" s="28">
        <v>452</v>
      </c>
      <c r="G311" s="90">
        <v>235.74</v>
      </c>
      <c r="H311" s="12">
        <f t="shared" si="16"/>
        <v>0.5215486725663717</v>
      </c>
    </row>
    <row r="312" spans="2:8" ht="12.75">
      <c r="B312" s="55"/>
      <c r="C312" s="56"/>
      <c r="D312" s="34">
        <v>4410</v>
      </c>
      <c r="E312" s="14" t="s">
        <v>93</v>
      </c>
      <c r="F312" s="28">
        <v>1100</v>
      </c>
      <c r="G312" s="90">
        <v>666.19</v>
      </c>
      <c r="H312" s="12">
        <f t="shared" si="16"/>
        <v>0.6056272727272728</v>
      </c>
    </row>
    <row r="313" spans="2:8" ht="12.75">
      <c r="B313" s="55"/>
      <c r="C313" s="56"/>
      <c r="D313" s="34">
        <v>4280</v>
      </c>
      <c r="E313" s="14" t="s">
        <v>94</v>
      </c>
      <c r="F313" s="28">
        <v>250</v>
      </c>
      <c r="G313" s="90">
        <v>250</v>
      </c>
      <c r="H313" s="12">
        <f t="shared" si="16"/>
        <v>1</v>
      </c>
    </row>
    <row r="314" spans="2:8" ht="22.5">
      <c r="B314" s="55"/>
      <c r="C314" s="56"/>
      <c r="D314" s="34">
        <v>4440</v>
      </c>
      <c r="E314" s="14" t="s">
        <v>70</v>
      </c>
      <c r="F314" s="28">
        <v>9000</v>
      </c>
      <c r="G314" s="90">
        <v>7183.58</v>
      </c>
      <c r="H314" s="12">
        <f t="shared" si="16"/>
        <v>0.7981755555555555</v>
      </c>
    </row>
    <row r="315" spans="2:8" ht="12.75">
      <c r="B315" s="55"/>
      <c r="C315" s="56"/>
      <c r="D315" s="34"/>
      <c r="E315" s="14"/>
      <c r="F315" s="28"/>
      <c r="G315" s="90"/>
      <c r="H315" s="12"/>
    </row>
    <row r="316" spans="2:8" ht="33.75">
      <c r="B316" s="55"/>
      <c r="C316" s="56">
        <v>85228</v>
      </c>
      <c r="D316" s="34"/>
      <c r="E316" s="14" t="s">
        <v>121</v>
      </c>
      <c r="F316" s="28">
        <f>SUM(F317+++F318+F319+F320+F321)</f>
        <v>19000</v>
      </c>
      <c r="G316" s="90">
        <f>SUM(G317:G321)</f>
        <v>4123.660000000001</v>
      </c>
      <c r="H316" s="12">
        <f aca="true" t="shared" si="17" ref="H316:H321">G316/F316</f>
        <v>0.2170347368421053</v>
      </c>
    </row>
    <row r="317" spans="2:8" ht="22.5">
      <c r="B317" s="55"/>
      <c r="C317" s="56"/>
      <c r="D317" s="34">
        <v>4010</v>
      </c>
      <c r="E317" s="14" t="s">
        <v>36</v>
      </c>
      <c r="F317" s="28">
        <v>15200</v>
      </c>
      <c r="G317" s="90">
        <v>3031.67</v>
      </c>
      <c r="H317" s="12">
        <f t="shared" si="17"/>
        <v>0.19945197368421053</v>
      </c>
    </row>
    <row r="318" spans="2:8" ht="22.5">
      <c r="B318" s="55"/>
      <c r="C318" s="56"/>
      <c r="D318" s="34">
        <v>4110</v>
      </c>
      <c r="E318" s="14" t="s">
        <v>92</v>
      </c>
      <c r="F318" s="28">
        <v>2700</v>
      </c>
      <c r="G318" s="90">
        <v>459.72</v>
      </c>
      <c r="H318" s="12">
        <f t="shared" si="17"/>
        <v>0.17026666666666668</v>
      </c>
    </row>
    <row r="319" spans="2:8" ht="12.75">
      <c r="B319" s="55"/>
      <c r="C319" s="56"/>
      <c r="D319" s="34">
        <v>4120</v>
      </c>
      <c r="E319" s="14" t="s">
        <v>24</v>
      </c>
      <c r="F319" s="28">
        <v>380</v>
      </c>
      <c r="G319" s="90">
        <v>63.53</v>
      </c>
      <c r="H319" s="12">
        <f t="shared" si="17"/>
        <v>0.1671842105263158</v>
      </c>
    </row>
    <row r="320" spans="2:8" ht="12.75">
      <c r="B320" s="55"/>
      <c r="C320" s="56"/>
      <c r="D320" s="34">
        <v>4410</v>
      </c>
      <c r="E320" s="14" t="s">
        <v>93</v>
      </c>
      <c r="F320" s="28">
        <v>20</v>
      </c>
      <c r="G320" s="90">
        <v>18.8</v>
      </c>
      <c r="H320" s="12">
        <f t="shared" si="17"/>
        <v>0.9400000000000001</v>
      </c>
    </row>
    <row r="321" spans="2:8" ht="22.5">
      <c r="B321" s="55"/>
      <c r="C321" s="56"/>
      <c r="D321" s="34">
        <v>4440</v>
      </c>
      <c r="E321" s="14" t="s">
        <v>70</v>
      </c>
      <c r="F321" s="28">
        <v>700</v>
      </c>
      <c r="G321" s="90">
        <v>549.94</v>
      </c>
      <c r="H321" s="12">
        <f t="shared" si="17"/>
        <v>0.7856285714285715</v>
      </c>
    </row>
    <row r="322" spans="2:8" ht="12.75">
      <c r="B322" s="55"/>
      <c r="C322" s="56"/>
      <c r="D322" s="34"/>
      <c r="E322" s="14"/>
      <c r="F322" s="28"/>
      <c r="G322" s="90"/>
      <c r="H322" s="12"/>
    </row>
    <row r="323" spans="2:8" ht="12.75">
      <c r="B323" s="55"/>
      <c r="C323" s="56">
        <v>85295</v>
      </c>
      <c r="D323" s="34"/>
      <c r="E323" s="14" t="s">
        <v>115</v>
      </c>
      <c r="F323" s="28">
        <f>SUM(F324:F330)</f>
        <v>119271</v>
      </c>
      <c r="G323" s="90">
        <f>SUM(G324:G330)</f>
        <v>44895.439999999995</v>
      </c>
      <c r="H323" s="12">
        <f aca="true" t="shared" si="18" ref="H323:H330">G323/F323</f>
        <v>0.3764153901619002</v>
      </c>
    </row>
    <row r="324" spans="2:8" ht="12.75">
      <c r="B324" s="55"/>
      <c r="C324" s="56"/>
      <c r="D324" s="34">
        <v>3110</v>
      </c>
      <c r="E324" s="14" t="s">
        <v>88</v>
      </c>
      <c r="F324" s="28">
        <v>85091</v>
      </c>
      <c r="G324" s="90">
        <v>30390</v>
      </c>
      <c r="H324" s="12">
        <f t="shared" si="18"/>
        <v>0.35714705433007016</v>
      </c>
    </row>
    <row r="325" spans="2:8" ht="22.5">
      <c r="B325" s="55"/>
      <c r="C325" s="56"/>
      <c r="D325" s="34">
        <v>4110</v>
      </c>
      <c r="E325" s="14" t="s">
        <v>20</v>
      </c>
      <c r="F325" s="28">
        <v>650</v>
      </c>
      <c r="G325" s="90">
        <v>265.95</v>
      </c>
      <c r="H325" s="12">
        <f t="shared" si="18"/>
        <v>0.40915384615384615</v>
      </c>
    </row>
    <row r="326" spans="2:8" ht="12.75">
      <c r="B326" s="55"/>
      <c r="C326" s="56"/>
      <c r="D326" s="34">
        <v>4120</v>
      </c>
      <c r="E326" s="14" t="s">
        <v>24</v>
      </c>
      <c r="F326" s="28">
        <v>130</v>
      </c>
      <c r="G326" s="90">
        <v>36.75</v>
      </c>
      <c r="H326" s="12">
        <f t="shared" si="18"/>
        <v>0.2826923076923077</v>
      </c>
    </row>
    <row r="327" spans="2:8" ht="22.5">
      <c r="B327" s="55"/>
      <c r="C327" s="56"/>
      <c r="D327" s="34">
        <v>4170</v>
      </c>
      <c r="E327" s="14" t="s">
        <v>117</v>
      </c>
      <c r="F327" s="28">
        <v>4200</v>
      </c>
      <c r="G327" s="90">
        <v>2274.36</v>
      </c>
      <c r="H327" s="12">
        <f t="shared" si="18"/>
        <v>0.5415142857142857</v>
      </c>
    </row>
    <row r="328" spans="2:8" ht="22.5">
      <c r="B328" s="55"/>
      <c r="C328" s="56"/>
      <c r="D328" s="34">
        <v>4210</v>
      </c>
      <c r="E328" s="14" t="s">
        <v>23</v>
      </c>
      <c r="F328" s="28">
        <v>8800</v>
      </c>
      <c r="G328" s="90">
        <v>5737.75</v>
      </c>
      <c r="H328" s="12">
        <f t="shared" si="18"/>
        <v>0.6520170454545454</v>
      </c>
    </row>
    <row r="329" spans="2:8" ht="12.75">
      <c r="B329" s="55"/>
      <c r="C329" s="56"/>
      <c r="D329" s="34">
        <v>4220</v>
      </c>
      <c r="E329" s="14" t="s">
        <v>82</v>
      </c>
      <c r="F329" s="28">
        <v>20000</v>
      </c>
      <c r="G329" s="90">
        <v>5878.88</v>
      </c>
      <c r="H329" s="12">
        <f t="shared" si="18"/>
        <v>0.293944</v>
      </c>
    </row>
    <row r="330" spans="2:8" ht="12.75">
      <c r="B330" s="55"/>
      <c r="C330" s="56"/>
      <c r="D330" s="34">
        <v>4300</v>
      </c>
      <c r="E330" s="14" t="s">
        <v>31</v>
      </c>
      <c r="F330" s="28">
        <v>400</v>
      </c>
      <c r="G330" s="90">
        <v>311.75</v>
      </c>
      <c r="H330" s="12">
        <f t="shared" si="18"/>
        <v>0.779375</v>
      </c>
    </row>
    <row r="331" spans="2:8" ht="12.75">
      <c r="B331" s="55"/>
      <c r="C331" s="56"/>
      <c r="D331" s="34"/>
      <c r="E331" s="14"/>
      <c r="F331" s="28"/>
      <c r="G331" s="90"/>
      <c r="H331" s="54"/>
    </row>
    <row r="332" spans="2:8" ht="22.5">
      <c r="B332" s="50">
        <v>854</v>
      </c>
      <c r="C332" s="57"/>
      <c r="D332" s="58"/>
      <c r="E332" s="53" t="s">
        <v>95</v>
      </c>
      <c r="F332" s="59">
        <f>SUM(F333+F343)</f>
        <v>193911</v>
      </c>
      <c r="G332" s="89">
        <f>G333+G343</f>
        <v>104933.82</v>
      </c>
      <c r="H332" s="54">
        <f>G332/F332</f>
        <v>0.541144236273342</v>
      </c>
    </row>
    <row r="333" spans="2:8" ht="12.75">
      <c r="B333" s="55"/>
      <c r="C333" s="56">
        <v>85401</v>
      </c>
      <c r="D333" s="34"/>
      <c r="E333" s="14" t="s">
        <v>96</v>
      </c>
      <c r="F333" s="28">
        <f>SUM(F334:F342)</f>
        <v>179604</v>
      </c>
      <c r="G333" s="90">
        <f>SUM(G334:G342)</f>
        <v>96783.82</v>
      </c>
      <c r="H333" s="12">
        <f>G333/F333</f>
        <v>0.5388734103917507</v>
      </c>
    </row>
    <row r="334" spans="2:8" ht="22.5">
      <c r="B334" s="55"/>
      <c r="C334" s="56"/>
      <c r="D334" s="34">
        <v>4010</v>
      </c>
      <c r="E334" s="14" t="s">
        <v>36</v>
      </c>
      <c r="F334" s="28">
        <v>129036</v>
      </c>
      <c r="G334" s="90">
        <v>65375.65</v>
      </c>
      <c r="H334" s="12">
        <f>G334/F334</f>
        <v>0.5066465947487523</v>
      </c>
    </row>
    <row r="335" spans="2:8" ht="22.5">
      <c r="B335" s="55"/>
      <c r="C335" s="56"/>
      <c r="D335" s="34">
        <v>4040</v>
      </c>
      <c r="E335" s="14" t="s">
        <v>91</v>
      </c>
      <c r="F335" s="28">
        <v>10110</v>
      </c>
      <c r="G335" s="90">
        <v>10109.8</v>
      </c>
      <c r="H335" s="12">
        <v>0</v>
      </c>
    </row>
    <row r="336" spans="2:8" ht="22.5">
      <c r="B336" s="55"/>
      <c r="C336" s="56"/>
      <c r="D336" s="34">
        <v>4110</v>
      </c>
      <c r="E336" s="14" t="s">
        <v>20</v>
      </c>
      <c r="F336" s="28">
        <v>24210</v>
      </c>
      <c r="G336" s="90">
        <v>12781.02</v>
      </c>
      <c r="H336" s="12">
        <f aca="true" t="shared" si="19" ref="H336:H344">G336/F336</f>
        <v>0.5279231722428749</v>
      </c>
    </row>
    <row r="337" spans="2:8" ht="12.75">
      <c r="B337" s="55"/>
      <c r="C337" s="56"/>
      <c r="D337" s="34">
        <v>4120</v>
      </c>
      <c r="E337" s="14" t="s">
        <v>24</v>
      </c>
      <c r="F337" s="28">
        <v>3296</v>
      </c>
      <c r="G337" s="90">
        <v>1705.77</v>
      </c>
      <c r="H337" s="12">
        <f t="shared" si="19"/>
        <v>0.5175273058252428</v>
      </c>
    </row>
    <row r="338" spans="2:8" ht="22.5">
      <c r="B338" s="55"/>
      <c r="C338" s="56"/>
      <c r="D338" s="34">
        <v>4210</v>
      </c>
      <c r="E338" s="14" t="s">
        <v>97</v>
      </c>
      <c r="F338" s="28">
        <v>2900</v>
      </c>
      <c r="G338" s="90">
        <v>311.58</v>
      </c>
      <c r="H338" s="12">
        <f t="shared" si="19"/>
        <v>0.10744137931034482</v>
      </c>
    </row>
    <row r="339" spans="2:8" ht="12.75">
      <c r="B339" s="55"/>
      <c r="C339" s="56"/>
      <c r="D339" s="34">
        <v>4270</v>
      </c>
      <c r="E339" s="14" t="s">
        <v>21</v>
      </c>
      <c r="F339" s="28">
        <v>1000</v>
      </c>
      <c r="G339" s="90">
        <v>0</v>
      </c>
      <c r="H339" s="12">
        <f t="shared" si="19"/>
        <v>0</v>
      </c>
    </row>
    <row r="340" spans="2:8" ht="12.75">
      <c r="B340" s="55"/>
      <c r="C340" s="56"/>
      <c r="D340" s="34">
        <v>4280</v>
      </c>
      <c r="E340" s="14" t="s">
        <v>94</v>
      </c>
      <c r="F340" s="28">
        <v>200</v>
      </c>
      <c r="G340" s="90">
        <v>0</v>
      </c>
      <c r="H340" s="12">
        <f t="shared" si="19"/>
        <v>0</v>
      </c>
    </row>
    <row r="341" spans="2:8" ht="22.5">
      <c r="B341" s="55"/>
      <c r="C341" s="56"/>
      <c r="D341" s="34">
        <v>4440</v>
      </c>
      <c r="E341" s="14" t="s">
        <v>70</v>
      </c>
      <c r="F341" s="28">
        <v>8622</v>
      </c>
      <c r="G341" s="90">
        <v>6500</v>
      </c>
      <c r="H341" s="12">
        <f t="shared" si="19"/>
        <v>0.7538854094177685</v>
      </c>
    </row>
    <row r="342" spans="2:8" ht="33.75">
      <c r="B342" s="55"/>
      <c r="C342" s="56"/>
      <c r="D342" s="34">
        <v>3020</v>
      </c>
      <c r="E342" s="14" t="s">
        <v>42</v>
      </c>
      <c r="F342" s="28">
        <v>230</v>
      </c>
      <c r="G342" s="90">
        <v>0</v>
      </c>
      <c r="H342" s="12">
        <f t="shared" si="19"/>
        <v>0</v>
      </c>
    </row>
    <row r="343" spans="2:8" ht="22.5">
      <c r="B343" s="55"/>
      <c r="C343" s="56">
        <v>85415</v>
      </c>
      <c r="D343" s="34"/>
      <c r="E343" s="14" t="s">
        <v>127</v>
      </c>
      <c r="F343" s="28">
        <f>SUM(F344)</f>
        <v>14307</v>
      </c>
      <c r="G343" s="90">
        <f>SUM(G344)</f>
        <v>8150</v>
      </c>
      <c r="H343" s="12">
        <f t="shared" si="19"/>
        <v>0.5696512196826728</v>
      </c>
    </row>
    <row r="344" spans="2:8" ht="22.5">
      <c r="B344" s="55"/>
      <c r="C344" s="56"/>
      <c r="D344" s="34">
        <v>3260</v>
      </c>
      <c r="E344" s="14" t="s">
        <v>128</v>
      </c>
      <c r="F344" s="28">
        <v>14307</v>
      </c>
      <c r="G344" s="90">
        <v>8150</v>
      </c>
      <c r="H344" s="12">
        <f t="shared" si="19"/>
        <v>0.5696512196826728</v>
      </c>
    </row>
    <row r="345" spans="2:8" ht="12.75">
      <c r="B345" s="55"/>
      <c r="C345" s="56"/>
      <c r="D345" s="34"/>
      <c r="E345" s="14"/>
      <c r="F345" s="28"/>
      <c r="G345" s="90"/>
      <c r="H345" s="12"/>
    </row>
    <row r="346" spans="2:8" ht="22.5">
      <c r="B346" s="50">
        <v>900</v>
      </c>
      <c r="C346" s="57"/>
      <c r="D346" s="58"/>
      <c r="E346" s="53" t="s">
        <v>98</v>
      </c>
      <c r="F346" s="59">
        <f>F348+F352+F355+F358+F363</f>
        <v>6139701</v>
      </c>
      <c r="G346" s="89">
        <f>G348+G352+G355+G358+G363</f>
        <v>842432.0999999999</v>
      </c>
      <c r="H346" s="54">
        <f>G346/F346</f>
        <v>0.13721060683574002</v>
      </c>
    </row>
    <row r="347" spans="2:8" ht="12.75">
      <c r="B347" s="50"/>
      <c r="C347" s="57"/>
      <c r="D347" s="58"/>
      <c r="E347" s="53"/>
      <c r="F347" s="59"/>
      <c r="G347" s="89"/>
      <c r="H347" s="54"/>
    </row>
    <row r="348" spans="2:8" ht="22.5">
      <c r="B348" s="55"/>
      <c r="C348" s="56">
        <v>90001</v>
      </c>
      <c r="D348" s="34"/>
      <c r="E348" s="14" t="s">
        <v>99</v>
      </c>
      <c r="F348" s="77">
        <f>SUM(F349:F350)</f>
        <v>145570</v>
      </c>
      <c r="G348" s="90">
        <f>SUM(G349:G350)</f>
        <v>56814</v>
      </c>
      <c r="H348" s="12">
        <f>G348/F348</f>
        <v>0.39028646012227797</v>
      </c>
    </row>
    <row r="349" spans="2:8" ht="12.75">
      <c r="B349" s="55"/>
      <c r="C349" s="56"/>
      <c r="D349" s="34">
        <v>4300</v>
      </c>
      <c r="E349" s="66" t="s">
        <v>31</v>
      </c>
      <c r="F349" s="28">
        <v>35440</v>
      </c>
      <c r="G349" s="90">
        <v>0</v>
      </c>
      <c r="H349" s="12">
        <f>G349/F349</f>
        <v>0</v>
      </c>
    </row>
    <row r="350" spans="2:8" ht="33.75">
      <c r="B350" s="55"/>
      <c r="C350" s="56"/>
      <c r="D350" s="34">
        <v>2650</v>
      </c>
      <c r="E350" s="66" t="s">
        <v>100</v>
      </c>
      <c r="F350" s="28">
        <v>110130</v>
      </c>
      <c r="G350" s="90">
        <v>56814</v>
      </c>
      <c r="H350" s="12">
        <f>G350/F350</f>
        <v>0.5158812312721329</v>
      </c>
    </row>
    <row r="351" spans="2:8" ht="12.75">
      <c r="B351" s="55"/>
      <c r="C351" s="56"/>
      <c r="D351" s="34"/>
      <c r="E351" s="14"/>
      <c r="F351" s="28"/>
      <c r="G351" s="90"/>
      <c r="H351" s="12"/>
    </row>
    <row r="352" spans="2:8" ht="12.75">
      <c r="B352" s="55"/>
      <c r="C352" s="56">
        <v>90003</v>
      </c>
      <c r="D352" s="34"/>
      <c r="E352" s="14" t="s">
        <v>101</v>
      </c>
      <c r="F352" s="28">
        <f>SUM(F353:F353)</f>
        <v>310100</v>
      </c>
      <c r="G352" s="90">
        <f>SUM(G353:G353)</f>
        <v>142454.53</v>
      </c>
      <c r="H352" s="12">
        <f>G352/F352</f>
        <v>0.4593825540148339</v>
      </c>
    </row>
    <row r="353" spans="2:8" ht="12.75">
      <c r="B353" s="55"/>
      <c r="C353" s="56"/>
      <c r="D353" s="34">
        <v>4300</v>
      </c>
      <c r="E353" s="14" t="s">
        <v>31</v>
      </c>
      <c r="F353" s="28">
        <v>310100</v>
      </c>
      <c r="G353" s="90">
        <v>142454.53</v>
      </c>
      <c r="H353" s="12">
        <f>G353/F353</f>
        <v>0.4593825540148339</v>
      </c>
    </row>
    <row r="354" spans="2:8" ht="12.75">
      <c r="B354" s="55"/>
      <c r="C354" s="56"/>
      <c r="D354" s="34"/>
      <c r="E354" s="14"/>
      <c r="F354" s="28"/>
      <c r="G354" s="90"/>
      <c r="H354" s="12"/>
    </row>
    <row r="355" spans="2:8" ht="22.5">
      <c r="B355" s="55"/>
      <c r="C355" s="56">
        <v>90004</v>
      </c>
      <c r="D355" s="34"/>
      <c r="E355" s="14" t="s">
        <v>102</v>
      </c>
      <c r="F355" s="28">
        <f>SUM(F356:F356)</f>
        <v>62020</v>
      </c>
      <c r="G355" s="90">
        <f>SUM(G356)</f>
        <v>17720</v>
      </c>
      <c r="H355" s="12">
        <f>G355/F355</f>
        <v>0.2857142857142857</v>
      </c>
    </row>
    <row r="356" spans="2:8" ht="12.75">
      <c r="B356" s="55"/>
      <c r="C356" s="56"/>
      <c r="D356" s="34">
        <v>4300</v>
      </c>
      <c r="E356" s="14" t="s">
        <v>31</v>
      </c>
      <c r="F356" s="28">
        <v>62020</v>
      </c>
      <c r="G356" s="90">
        <v>17720</v>
      </c>
      <c r="H356" s="12">
        <f>G356/F356</f>
        <v>0.2857142857142857</v>
      </c>
    </row>
    <row r="357" spans="2:8" ht="12.75">
      <c r="B357" s="55"/>
      <c r="C357" s="56"/>
      <c r="D357" s="34"/>
      <c r="E357" s="14"/>
      <c r="F357" s="28"/>
      <c r="G357" s="90"/>
      <c r="H357" s="12"/>
    </row>
    <row r="358" spans="2:8" ht="22.5">
      <c r="B358" s="55"/>
      <c r="C358" s="56">
        <v>90015</v>
      </c>
      <c r="D358" s="34"/>
      <c r="E358" s="14" t="s">
        <v>103</v>
      </c>
      <c r="F358" s="28">
        <f>SUM(F359:F361)</f>
        <v>407560</v>
      </c>
      <c r="G358" s="90">
        <f>SUM(G359:G361)</f>
        <v>120927.85</v>
      </c>
      <c r="H358" s="12">
        <f>G358/F358</f>
        <v>0.29671177249975467</v>
      </c>
    </row>
    <row r="359" spans="2:8" ht="12.75">
      <c r="B359" s="55"/>
      <c r="C359" s="56"/>
      <c r="D359" s="34">
        <v>4260</v>
      </c>
      <c r="E359" s="14" t="s">
        <v>69</v>
      </c>
      <c r="F359" s="28">
        <f>227000-5</f>
        <v>226995</v>
      </c>
      <c r="G359" s="90">
        <v>59266</v>
      </c>
      <c r="H359" s="12">
        <f>G359/F359</f>
        <v>0.26108945130950023</v>
      </c>
    </row>
    <row r="360" spans="2:8" ht="12.75">
      <c r="B360" s="55"/>
      <c r="C360" s="56"/>
      <c r="D360" s="34">
        <v>4270</v>
      </c>
      <c r="E360" s="14" t="s">
        <v>21</v>
      </c>
      <c r="F360" s="28">
        <v>180560</v>
      </c>
      <c r="G360" s="90">
        <v>61661.85</v>
      </c>
      <c r="H360" s="12">
        <f>G360/F360</f>
        <v>0.34150337837837835</v>
      </c>
    </row>
    <row r="361" spans="2:8" ht="12.75">
      <c r="B361" s="55"/>
      <c r="C361" s="56"/>
      <c r="D361" s="34">
        <v>4580</v>
      </c>
      <c r="E361" s="14" t="s">
        <v>137</v>
      </c>
      <c r="F361" s="28">
        <v>5</v>
      </c>
      <c r="G361" s="90">
        <v>0</v>
      </c>
      <c r="H361" s="12">
        <f>G361/F361</f>
        <v>0</v>
      </c>
    </row>
    <row r="362" spans="2:8" ht="12.75">
      <c r="B362" s="55"/>
      <c r="C362" s="56"/>
      <c r="D362" s="34"/>
      <c r="E362" s="14"/>
      <c r="F362" s="28"/>
      <c r="G362" s="90"/>
      <c r="H362" s="12"/>
    </row>
    <row r="363" spans="2:8" ht="12.75">
      <c r="B363" s="55"/>
      <c r="C363" s="56">
        <v>90095</v>
      </c>
      <c r="D363" s="34"/>
      <c r="E363" s="14" t="s">
        <v>104</v>
      </c>
      <c r="F363" s="28">
        <f>SUM(F364:F377)</f>
        <v>5214451</v>
      </c>
      <c r="G363" s="90">
        <f>SUM(G364:G377)</f>
        <v>504515.7199999999</v>
      </c>
      <c r="H363" s="12">
        <f aca="true" t="shared" si="20" ref="H363:H373">G363/F363</f>
        <v>0.09675337250268531</v>
      </c>
    </row>
    <row r="364" spans="2:8" ht="78.75">
      <c r="B364" s="55"/>
      <c r="C364" s="56"/>
      <c r="D364" s="34">
        <v>2900</v>
      </c>
      <c r="E364" s="14" t="s">
        <v>38</v>
      </c>
      <c r="F364" s="28">
        <f>441780-24778</f>
        <v>417002</v>
      </c>
      <c r="G364" s="90">
        <v>196112</v>
      </c>
      <c r="H364" s="12">
        <f t="shared" si="20"/>
        <v>0.4702903103582237</v>
      </c>
    </row>
    <row r="365" spans="2:8" ht="22.5">
      <c r="B365" s="55"/>
      <c r="C365" s="56"/>
      <c r="D365" s="34">
        <v>4010</v>
      </c>
      <c r="E365" s="14" t="s">
        <v>36</v>
      </c>
      <c r="F365" s="28">
        <v>23500</v>
      </c>
      <c r="G365" s="90">
        <v>13938.02</v>
      </c>
      <c r="H365" s="12">
        <f t="shared" si="20"/>
        <v>0.5931072340425532</v>
      </c>
    </row>
    <row r="366" spans="2:8" ht="22.5">
      <c r="B366" s="55"/>
      <c r="C366" s="56"/>
      <c r="D366" s="34">
        <v>4110</v>
      </c>
      <c r="E366" s="14" t="s">
        <v>20</v>
      </c>
      <c r="F366" s="28">
        <f>2500+3500</f>
        <v>6000</v>
      </c>
      <c r="G366" s="90">
        <v>2271</v>
      </c>
      <c r="H366" s="12">
        <f t="shared" si="20"/>
        <v>0.3785</v>
      </c>
    </row>
    <row r="367" spans="2:8" ht="12.75">
      <c r="B367" s="55"/>
      <c r="C367" s="56"/>
      <c r="D367" s="34">
        <v>4120</v>
      </c>
      <c r="E367" s="14" t="s">
        <v>24</v>
      </c>
      <c r="F367" s="28">
        <f>500+350</f>
        <v>850</v>
      </c>
      <c r="G367" s="90">
        <v>323.08</v>
      </c>
      <c r="H367" s="12">
        <f t="shared" si="20"/>
        <v>0.3800941176470588</v>
      </c>
    </row>
    <row r="368" spans="2:8" ht="22.5">
      <c r="B368" s="55"/>
      <c r="C368" s="56"/>
      <c r="D368" s="34">
        <v>4170</v>
      </c>
      <c r="E368" s="14" t="s">
        <v>117</v>
      </c>
      <c r="F368" s="28">
        <f>25000-15000</f>
        <v>10000</v>
      </c>
      <c r="G368" s="90">
        <v>8356.36</v>
      </c>
      <c r="H368" s="12">
        <f t="shared" si="20"/>
        <v>0.835636</v>
      </c>
    </row>
    <row r="369" spans="2:9" ht="22.5">
      <c r="B369" s="55"/>
      <c r="C369" s="56"/>
      <c r="D369" s="34">
        <v>4210</v>
      </c>
      <c r="E369" s="14" t="s">
        <v>105</v>
      </c>
      <c r="F369" s="28">
        <v>25000</v>
      </c>
      <c r="G369" s="90">
        <v>12233</v>
      </c>
      <c r="H369" s="12">
        <f t="shared" si="20"/>
        <v>0.48932</v>
      </c>
      <c r="I369" s="1"/>
    </row>
    <row r="370" spans="2:8" ht="12.75">
      <c r="B370" s="55"/>
      <c r="C370" s="56"/>
      <c r="D370" s="34">
        <v>4260</v>
      </c>
      <c r="E370" s="14" t="s">
        <v>69</v>
      </c>
      <c r="F370" s="28">
        <v>3570</v>
      </c>
      <c r="G370" s="90">
        <v>1306.11</v>
      </c>
      <c r="H370" s="12">
        <f t="shared" si="20"/>
        <v>0.3658571428571428</v>
      </c>
    </row>
    <row r="371" spans="2:8" ht="12.75">
      <c r="B371" s="55"/>
      <c r="C371" s="56"/>
      <c r="D371" s="34">
        <v>4270</v>
      </c>
      <c r="E371" s="14" t="s">
        <v>21</v>
      </c>
      <c r="F371" s="28">
        <v>83000</v>
      </c>
      <c r="G371" s="90">
        <v>40657.13</v>
      </c>
      <c r="H371" s="12">
        <f t="shared" si="20"/>
        <v>0.4898449397590361</v>
      </c>
    </row>
    <row r="372" spans="2:8" ht="12.75">
      <c r="B372" s="55"/>
      <c r="C372" s="56"/>
      <c r="D372" s="34">
        <v>4300</v>
      </c>
      <c r="E372" s="14" t="s">
        <v>31</v>
      </c>
      <c r="F372" s="28">
        <f>100302-12350-15</f>
        <v>87937</v>
      </c>
      <c r="G372" s="90">
        <f>64395.25+87.84</f>
        <v>64483.09</v>
      </c>
      <c r="H372" s="12">
        <f t="shared" si="20"/>
        <v>0.7332873534462171</v>
      </c>
    </row>
    <row r="373" spans="2:8" ht="22.5">
      <c r="B373" s="55"/>
      <c r="C373" s="56"/>
      <c r="D373" s="34">
        <v>4040</v>
      </c>
      <c r="E373" s="14" t="s">
        <v>43</v>
      </c>
      <c r="F373" s="28">
        <v>2450</v>
      </c>
      <c r="G373" s="90">
        <v>2419.35</v>
      </c>
      <c r="H373" s="12">
        <f t="shared" si="20"/>
        <v>0.9874897959183673</v>
      </c>
    </row>
    <row r="374" spans="2:8" ht="12.75">
      <c r="B374" s="55"/>
      <c r="C374" s="56"/>
      <c r="D374" s="34">
        <v>4430</v>
      </c>
      <c r="E374" s="14" t="s">
        <v>53</v>
      </c>
      <c r="F374" s="28">
        <v>20</v>
      </c>
      <c r="G374" s="90">
        <v>12</v>
      </c>
      <c r="H374" s="12">
        <v>0</v>
      </c>
    </row>
    <row r="375" spans="2:8" ht="33.75">
      <c r="B375" s="55"/>
      <c r="C375" s="56"/>
      <c r="D375" s="34">
        <v>4570</v>
      </c>
      <c r="E375" s="14" t="s">
        <v>129</v>
      </c>
      <c r="F375" s="28">
        <v>15</v>
      </c>
      <c r="G375" s="90">
        <v>11.2</v>
      </c>
      <c r="H375" s="12">
        <v>0</v>
      </c>
    </row>
    <row r="376" spans="2:8" ht="23.25" customHeight="1">
      <c r="B376" s="55"/>
      <c r="C376" s="56"/>
      <c r="D376" s="34">
        <v>4610</v>
      </c>
      <c r="E376" s="14" t="s">
        <v>33</v>
      </c>
      <c r="F376" s="28">
        <f>178217-20</f>
        <v>178197</v>
      </c>
      <c r="G376" s="90">
        <v>50031.4</v>
      </c>
      <c r="H376" s="12">
        <f>G376/F376</f>
        <v>0.28076454710236426</v>
      </c>
    </row>
    <row r="377" spans="2:8" ht="22.5">
      <c r="B377" s="55"/>
      <c r="C377" s="56"/>
      <c r="D377" s="34">
        <v>6050</v>
      </c>
      <c r="E377" s="14" t="s">
        <v>25</v>
      </c>
      <c r="F377" s="28">
        <f>4137659+239251</f>
        <v>4376910</v>
      </c>
      <c r="G377" s="90">
        <f>1220+2684+5680+20613.16+4577.93+1220+101.1+2437.21+9882+8427.1+55456.48+63</f>
        <v>112361.98</v>
      </c>
      <c r="H377" s="12">
        <f>G377/F377</f>
        <v>0.025671530828826727</v>
      </c>
    </row>
    <row r="378" spans="2:8" ht="12.75">
      <c r="B378" s="55"/>
      <c r="C378" s="56"/>
      <c r="D378" s="34"/>
      <c r="E378" s="14"/>
      <c r="F378" s="28"/>
      <c r="G378" s="90"/>
      <c r="H378" s="54"/>
    </row>
    <row r="379" spans="2:8" ht="33.75">
      <c r="B379" s="50">
        <v>921</v>
      </c>
      <c r="C379" s="57"/>
      <c r="D379" s="58"/>
      <c r="E379" s="53" t="s">
        <v>106</v>
      </c>
      <c r="F379" s="59">
        <f>SUM(F381+F384+F387+F390)</f>
        <v>1076807</v>
      </c>
      <c r="G379" s="89">
        <f>G381+G384+G387+G390</f>
        <v>433432.63</v>
      </c>
      <c r="H379" s="54">
        <f>G379/F379</f>
        <v>0.40251654196155856</v>
      </c>
    </row>
    <row r="380" spans="2:8" ht="12.75">
      <c r="B380" s="55"/>
      <c r="C380" s="56"/>
      <c r="D380" s="34"/>
      <c r="E380" s="14"/>
      <c r="F380" s="28"/>
      <c r="G380" s="90"/>
      <c r="H380" s="12"/>
    </row>
    <row r="381" spans="2:8" ht="22.5">
      <c r="B381" s="55"/>
      <c r="C381" s="56">
        <v>92109</v>
      </c>
      <c r="D381" s="34"/>
      <c r="E381" s="14" t="s">
        <v>107</v>
      </c>
      <c r="F381" s="28">
        <f>SUM(F382:F382)</f>
        <v>532037</v>
      </c>
      <c r="G381" s="90">
        <f>SUM(G382)</f>
        <v>302874</v>
      </c>
      <c r="H381" s="12">
        <f>G381/F381</f>
        <v>0.5692724378191742</v>
      </c>
    </row>
    <row r="382" spans="2:8" ht="33.75">
      <c r="B382" s="55"/>
      <c r="C382" s="56"/>
      <c r="D382" s="34">
        <v>2480</v>
      </c>
      <c r="E382" s="14" t="s">
        <v>122</v>
      </c>
      <c r="F382" s="28">
        <v>532037</v>
      </c>
      <c r="G382" s="90">
        <f>300394.96+2479.04</f>
        <v>302874</v>
      </c>
      <c r="H382" s="12">
        <f>G382/F382</f>
        <v>0.5692724378191742</v>
      </c>
    </row>
    <row r="383" spans="2:8" ht="12.75">
      <c r="B383" s="55"/>
      <c r="C383" s="56"/>
      <c r="D383" s="34"/>
      <c r="E383" s="14"/>
      <c r="F383" s="28"/>
      <c r="G383" s="90"/>
      <c r="H383" s="12"/>
    </row>
    <row r="384" spans="2:8" ht="12.75">
      <c r="B384" s="55"/>
      <c r="C384" s="56">
        <v>92116</v>
      </c>
      <c r="D384" s="34"/>
      <c r="E384" s="14" t="s">
        <v>108</v>
      </c>
      <c r="F384" s="28">
        <f>SUM(F385)</f>
        <v>190490</v>
      </c>
      <c r="G384" s="90">
        <f>SUM(G385)</f>
        <v>104370</v>
      </c>
      <c r="H384" s="12">
        <f>G384/F384</f>
        <v>0.547902777048664</v>
      </c>
    </row>
    <row r="385" spans="2:8" ht="33.75">
      <c r="B385" s="55"/>
      <c r="C385" s="56"/>
      <c r="D385" s="34">
        <v>2480</v>
      </c>
      <c r="E385" s="14" t="s">
        <v>122</v>
      </c>
      <c r="F385" s="28">
        <v>190490</v>
      </c>
      <c r="G385" s="90">
        <v>104370</v>
      </c>
      <c r="H385" s="12">
        <f>G385/F385</f>
        <v>0.547902777048664</v>
      </c>
    </row>
    <row r="386" spans="2:8" ht="12.75">
      <c r="B386" s="55"/>
      <c r="C386" s="56"/>
      <c r="D386" s="34"/>
      <c r="E386" s="14"/>
      <c r="F386" s="28"/>
      <c r="G386" s="90"/>
      <c r="H386" s="12"/>
    </row>
    <row r="387" spans="2:8" ht="22.5">
      <c r="B387" s="55"/>
      <c r="C387" s="56">
        <v>92120</v>
      </c>
      <c r="D387" s="34"/>
      <c r="E387" s="14" t="s">
        <v>109</v>
      </c>
      <c r="F387" s="28">
        <f>SUM(F388:F388)</f>
        <v>295570</v>
      </c>
      <c r="G387" s="90">
        <f>SUM(G388:G388)</f>
        <v>2552.2</v>
      </c>
      <c r="H387" s="12">
        <f>G387/F387</f>
        <v>0.008634841154379673</v>
      </c>
    </row>
    <row r="388" spans="2:8" ht="22.5">
      <c r="B388" s="55"/>
      <c r="C388" s="56"/>
      <c r="D388" s="34">
        <v>6050</v>
      </c>
      <c r="E388" s="14" t="s">
        <v>25</v>
      </c>
      <c r="F388" s="28">
        <v>295570</v>
      </c>
      <c r="G388" s="90">
        <v>2552.2</v>
      </c>
      <c r="H388" s="12">
        <f>G388/F388</f>
        <v>0.008634841154379673</v>
      </c>
    </row>
    <row r="389" spans="2:8" ht="12.75">
      <c r="B389" s="55"/>
      <c r="C389" s="56"/>
      <c r="D389" s="34"/>
      <c r="E389" s="14"/>
      <c r="F389" s="28"/>
      <c r="G389" s="90"/>
      <c r="H389" s="12"/>
    </row>
    <row r="390" spans="2:8" ht="12.75">
      <c r="B390" s="55"/>
      <c r="C390" s="56">
        <v>92195</v>
      </c>
      <c r="D390" s="34"/>
      <c r="E390" s="14" t="s">
        <v>104</v>
      </c>
      <c r="F390" s="28">
        <f>SUM(F391+F393+F394+F392)</f>
        <v>58710</v>
      </c>
      <c r="G390" s="90">
        <f>SUM(G391:G394)</f>
        <v>23636.43</v>
      </c>
      <c r="H390" s="12">
        <f>G390/F390</f>
        <v>0.4025963208993357</v>
      </c>
    </row>
    <row r="391" spans="2:8" ht="56.25">
      <c r="B391" s="55"/>
      <c r="C391" s="56"/>
      <c r="D391" s="34">
        <v>2820</v>
      </c>
      <c r="E391" s="14" t="s">
        <v>50</v>
      </c>
      <c r="F391" s="28">
        <v>32427</v>
      </c>
      <c r="G391" s="90">
        <f>4302+11412</f>
        <v>15714</v>
      </c>
      <c r="H391" s="12">
        <f>G391/F391</f>
        <v>0.4845961698584513</v>
      </c>
    </row>
    <row r="392" spans="2:8" ht="22.5">
      <c r="B392" s="55"/>
      <c r="C392" s="56"/>
      <c r="D392" s="34">
        <v>4170</v>
      </c>
      <c r="E392" s="14" t="s">
        <v>117</v>
      </c>
      <c r="F392" s="28">
        <v>250</v>
      </c>
      <c r="G392" s="90">
        <v>213.58</v>
      </c>
      <c r="H392" s="12">
        <f>G392/F392</f>
        <v>0.8543200000000001</v>
      </c>
    </row>
    <row r="393" spans="2:9" ht="22.5">
      <c r="B393" s="55"/>
      <c r="C393" s="56"/>
      <c r="D393" s="34">
        <v>4210</v>
      </c>
      <c r="E393" s="14" t="s">
        <v>105</v>
      </c>
      <c r="F393" s="28">
        <v>10000</v>
      </c>
      <c r="G393" s="90">
        <v>5315.92</v>
      </c>
      <c r="H393" s="12">
        <f>G393/F393</f>
        <v>0.531592</v>
      </c>
      <c r="I393" s="1"/>
    </row>
    <row r="394" spans="2:8" ht="12.75">
      <c r="B394" s="55"/>
      <c r="C394" s="56"/>
      <c r="D394" s="34">
        <v>4300</v>
      </c>
      <c r="E394" s="14" t="s">
        <v>31</v>
      </c>
      <c r="F394" s="28">
        <f>16283-250</f>
        <v>16033</v>
      </c>
      <c r="G394" s="90">
        <v>2392.93</v>
      </c>
      <c r="H394" s="12">
        <f>G394/F394</f>
        <v>0.14925029626395558</v>
      </c>
    </row>
    <row r="395" spans="2:8" ht="12.75">
      <c r="B395" s="55"/>
      <c r="C395" s="56"/>
      <c r="D395" s="34"/>
      <c r="E395" s="14"/>
      <c r="F395" s="28"/>
      <c r="G395" s="90"/>
      <c r="H395" s="54"/>
    </row>
    <row r="396" spans="2:8" ht="12.75">
      <c r="B396" s="50">
        <v>926</v>
      </c>
      <c r="C396" s="57"/>
      <c r="D396" s="58"/>
      <c r="E396" s="53" t="s">
        <v>110</v>
      </c>
      <c r="F396" s="59">
        <f>SUM(F397)</f>
        <v>169000</v>
      </c>
      <c r="G396" s="89">
        <f>G397</f>
        <v>85304.34</v>
      </c>
      <c r="H396" s="54">
        <f>G396/F396</f>
        <v>0.5047594082840237</v>
      </c>
    </row>
    <row r="397" spans="2:8" ht="22.5">
      <c r="B397" s="55"/>
      <c r="C397" s="56">
        <v>92605</v>
      </c>
      <c r="D397" s="34"/>
      <c r="E397" s="14" t="s">
        <v>111</v>
      </c>
      <c r="F397" s="28">
        <f>F398</f>
        <v>169000</v>
      </c>
      <c r="G397" s="90">
        <f>SUM(G398)</f>
        <v>85304.34</v>
      </c>
      <c r="H397" s="12">
        <f>G397/F397</f>
        <v>0.5047594082840237</v>
      </c>
    </row>
    <row r="398" spans="2:8" ht="60" customHeight="1">
      <c r="B398" s="55"/>
      <c r="C398" s="56"/>
      <c r="D398" s="34">
        <v>2820</v>
      </c>
      <c r="E398" s="78" t="s">
        <v>50</v>
      </c>
      <c r="F398" s="28">
        <v>169000</v>
      </c>
      <c r="G398" s="90">
        <f>55001.67+26343.67+2709.67+1249.33</f>
        <v>85304.34</v>
      </c>
      <c r="H398" s="12">
        <f>G398/F398</f>
        <v>0.5047594082840237</v>
      </c>
    </row>
    <row r="399" spans="2:8" ht="13.5" thickBot="1">
      <c r="B399" s="79"/>
      <c r="C399" s="80"/>
      <c r="D399" s="81"/>
      <c r="E399" s="82"/>
      <c r="F399" s="83"/>
      <c r="G399" s="84"/>
      <c r="H399" s="85"/>
    </row>
    <row r="400" spans="2:8" ht="13.5" thickBot="1">
      <c r="B400" s="16"/>
      <c r="C400" s="18"/>
      <c r="D400" s="25"/>
      <c r="E400" s="23" t="s">
        <v>0</v>
      </c>
      <c r="F400" s="30">
        <f>F6+F11+F16+F38+F43+F53+F96+F104+F137+F144+F149+F157+F250+F275+F332+F346+F379+F396</f>
        <v>20654868</v>
      </c>
      <c r="G400" s="30">
        <f>G6+G11+G16+G38+G43+G53+G96+G104+G137+G144+G149+G157+G250+G275+G332+G346+G379+G396</f>
        <v>7017678.55</v>
      </c>
      <c r="H400" s="99">
        <f>G400/F400</f>
        <v>0.3397590606727673</v>
      </c>
    </row>
    <row r="401" spans="2:8" ht="13.5" thickBot="1">
      <c r="B401" s="17"/>
      <c r="C401" s="18"/>
      <c r="D401" s="26">
        <v>9920</v>
      </c>
      <c r="E401" s="24" t="s">
        <v>112</v>
      </c>
      <c r="F401" s="31">
        <v>1222572</v>
      </c>
      <c r="G401" s="31">
        <v>451611</v>
      </c>
      <c r="H401" s="99">
        <f>G401/F401</f>
        <v>0.36939419518850425</v>
      </c>
    </row>
    <row r="402" spans="2:8" ht="13.5" thickBot="1">
      <c r="B402" s="19"/>
      <c r="C402" s="19"/>
      <c r="D402" s="19"/>
      <c r="E402" s="98" t="s">
        <v>113</v>
      </c>
      <c r="F402" s="31">
        <f>SUM(F400:F401)</f>
        <v>21877440</v>
      </c>
      <c r="G402" s="31">
        <f>SUM(G400:G401)</f>
        <v>7469289.55</v>
      </c>
      <c r="H402" s="99">
        <f>G402/F402</f>
        <v>0.34141515414966284</v>
      </c>
    </row>
    <row r="403" spans="2:8" ht="12.75">
      <c r="B403" s="3"/>
      <c r="C403" s="3"/>
      <c r="D403" s="3"/>
      <c r="F403" s="7"/>
      <c r="G403" s="95"/>
      <c r="H403" s="7"/>
    </row>
    <row r="405" spans="6:10" ht="12.75">
      <c r="F405" s="21"/>
      <c r="I405" s="1"/>
      <c r="J405" s="1"/>
    </row>
    <row r="408" ht="12.75">
      <c r="I408" s="1"/>
    </row>
    <row r="411" spans="7:8" ht="12.75">
      <c r="G411" s="96"/>
      <c r="H411" s="27"/>
    </row>
    <row r="412" spans="7:8" ht="12.75">
      <c r="G412" s="96"/>
      <c r="H412" s="27"/>
    </row>
    <row r="413" spans="7:8" ht="12.75">
      <c r="G413" s="96"/>
      <c r="H413" s="27"/>
    </row>
    <row r="414" spans="7:8" ht="12.75">
      <c r="G414" s="96"/>
      <c r="H414" s="27"/>
    </row>
    <row r="415" spans="7:8" ht="12.75">
      <c r="G415" s="96"/>
      <c r="H415" s="27"/>
    </row>
    <row r="416" spans="7:8" ht="12.75">
      <c r="G416" s="96"/>
      <c r="H416" s="27"/>
    </row>
    <row r="417" spans="7:8" ht="12.75">
      <c r="G417" s="96"/>
      <c r="H417" s="27"/>
    </row>
    <row r="418" spans="7:8" ht="12.75">
      <c r="G418" s="96"/>
      <c r="H418" s="27"/>
    </row>
    <row r="419" spans="7:8" ht="12.75">
      <c r="G419" s="96"/>
      <c r="H419" s="27"/>
    </row>
    <row r="420" spans="7:8" ht="12.75">
      <c r="G420" s="96"/>
      <c r="H420" s="27"/>
    </row>
    <row r="421" spans="7:8" ht="12.75">
      <c r="G421" s="96"/>
      <c r="H421" s="27"/>
    </row>
    <row r="422" spans="7:8" ht="12.75">
      <c r="G422" s="96"/>
      <c r="H422" s="27"/>
    </row>
    <row r="423" spans="7:8" ht="12.75">
      <c r="G423" s="96"/>
      <c r="H423" s="27"/>
    </row>
  </sheetData>
  <mergeCells count="1">
    <mergeCell ref="E3:G3"/>
  </mergeCells>
  <printOptions/>
  <pageMargins left="0.16" right="0.25" top="0.24" bottom="0.16" header="0.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Fin2</cp:lastModifiedBy>
  <cp:lastPrinted>2005-07-21T08:58:21Z</cp:lastPrinted>
  <dcterms:created xsi:type="dcterms:W3CDTF">2003-10-08T08:05:22Z</dcterms:created>
  <dcterms:modified xsi:type="dcterms:W3CDTF">2005-10-10T14:48:51Z</dcterms:modified>
  <cp:category/>
  <cp:version/>
  <cp:contentType/>
  <cp:contentStatus/>
</cp:coreProperties>
</file>